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drawings/drawing9.xml" ContentType="application/vnd.openxmlformats-officedocument.drawingml.chartshapes+xml"/>
  <Override PartName="/xl/drawings/drawing17.xml" ContentType="application/vnd.openxmlformats-officedocument.drawingml.chartshapes+xml"/>
  <Override PartName="/xl/drawings/drawing10.xml" ContentType="application/vnd.openxmlformats-officedocument.drawingml.chartshapes+xml"/>
  <Override PartName="/xl/drawings/drawing22.xml" ContentType="application/vnd.openxmlformats-officedocument.drawingml.chartshapes+xml"/>
  <Override PartName="/xl/drawings/drawing28.xml" ContentType="application/vnd.openxmlformats-officedocument.drawingml.chartshapes+xml"/>
  <Override PartName="/xl/drawings/drawing23.xml" ContentType="application/vnd.openxmlformats-officedocument.drawingml.chartshapes+xml"/>
  <Override PartName="/xl/drawings/drawing11.xml" ContentType="application/vnd.openxmlformats-officedocument.drawingml.chartshapes+xml"/>
  <Override PartName="/xl/drawings/drawing24.xml" ContentType="application/vnd.openxmlformats-officedocument.drawingml.chartshapes+xml"/>
  <Override PartName="/xl/drawings/drawing12.xml" ContentType="application/vnd.openxmlformats-officedocument.drawingml.chartshapes+xml"/>
  <Override PartName="/xl/drawings/drawing18.xml" ContentType="application/vnd.openxmlformats-officedocument.drawingml.chartshapes+xml"/>
  <Override PartName="/xl/drawings/drawing40.xml" ContentType="application/vnd.openxmlformats-officedocument.drawingml.chartshapes+xml"/>
  <Override PartName="/xl/drawings/drawing27.xml" ContentType="application/vnd.openxmlformats-officedocument.drawingml.chartshapes+xml"/>
  <Override PartName="/xl/drawings/drawing19.xml" ContentType="application/vnd.openxmlformats-officedocument.drawingml.chartshapes+xml"/>
  <Override PartName="/xl/drawings/drawing14.xml" ContentType="application/vnd.openxmlformats-officedocument.drawingml.chartshapes+xml"/>
  <Override PartName="/xl/drawings/drawing25.xml" ContentType="application/vnd.openxmlformats-officedocument.drawingml.chartshapes+xml"/>
  <Override PartName="/xl/drawings/drawing39.xml" ContentType="application/vnd.openxmlformats-officedocument.drawingml.chartshapes+xml"/>
  <Override PartName="/xl/drawings/drawing38.xml" ContentType="application/vnd.openxmlformats-officedocument.drawingml.chartshapes+xml"/>
  <Override PartName="/xl/drawings/drawing37.xml" ContentType="application/vnd.openxmlformats-officedocument.drawingml.chartshapes+xml"/>
  <Override PartName="/xl/drawings/drawing36.xml" ContentType="application/vnd.openxmlformats-officedocument.drawingml.chartshapes+xml"/>
  <Override PartName="/xl/drawings/drawing15.xml" ContentType="application/vnd.openxmlformats-officedocument.drawingml.chartshapes+xml"/>
  <Override PartName="/xl/drawings/drawing35.xml" ContentType="application/vnd.openxmlformats-officedocument.drawingml.chartshapes+xml"/>
  <Override PartName="/xl/drawings/drawing34.xml" ContentType="application/vnd.openxmlformats-officedocument.drawingml.chartshapes+xml"/>
  <Override PartName="/xl/drawings/drawing13.xml" ContentType="application/vnd.openxmlformats-officedocument.drawingml.chartshapes+xml"/>
  <Override PartName="/xl/drawings/drawing4.xml" ContentType="application/vnd.openxmlformats-officedocument.drawingml.chartshapes+xml"/>
  <Override PartName="/xl/drawings/drawing33.xml" ContentType="application/vnd.openxmlformats-officedocument.drawingml.chartshapes+xml"/>
  <Override PartName="/xl/drawings/drawing5.xml" ContentType="application/vnd.openxmlformats-officedocument.drawingml.chartshapes+xml"/>
  <Override PartName="/xl/drawings/drawing20.xml" ContentType="application/vnd.openxmlformats-officedocument.drawingml.chartshapes+xml"/>
  <Override PartName="/xl/drawings/drawing6.xml" ContentType="application/vnd.openxmlformats-officedocument.drawingml.chartshapes+xml"/>
  <Override PartName="/xl/drawings/drawing29.xml" ContentType="application/vnd.openxmlformats-officedocument.drawingml.chartshapes+xml"/>
  <Override PartName="/xl/drawings/drawing32.xml" ContentType="application/vnd.openxmlformats-officedocument.drawingml.chartshapes+xml"/>
  <Override PartName="/xl/drawings/drawing7.xml" ContentType="application/vnd.openxmlformats-officedocument.drawingml.chartshapes+xml"/>
  <Override PartName="/xl/workbook.xml" ContentType="application/vnd.openxmlformats-officedocument.spreadsheetml.sheet.main+xml"/>
  <Override PartName="/xl/drawings/drawing8.xml" ContentType="application/vnd.openxmlformats-officedocument.drawingml.chartshapes+xml"/>
  <Override PartName="/xl/drawings/drawing30.xml" ContentType="application/vnd.openxmlformats-officedocument.drawingml.chartshapes+xml"/>
  <Override PartName="/xl/drawings/drawing21.xml" ContentType="application/vnd.openxmlformats-officedocument.drawingml.chartshapes+xml"/>
  <Override PartName="/xl/drawings/drawing41.xml" ContentType="application/vnd.openxmlformats-officedocument.drawingml.chartshapes+xml"/>
  <Override PartName="/xl/drawings/drawing31.xml" ContentType="application/vnd.openxmlformats-officedocument.drawingml.chartshapes+xml"/>
  <Override PartName="/xl/drawings/drawing43.xml" ContentType="application/vnd.openxmlformats-officedocument.drawingml.chartshapes+xml"/>
  <Override PartName="/xl/drawings/drawing44.xml" ContentType="application/vnd.openxmlformats-officedocument.drawingml.chartshapes+xml"/>
  <Override PartName="/xl/drawings/drawing26.xml" ContentType="application/vnd.openxmlformats-officedocument.drawingml.chartshapes+xml"/>
  <Override PartName="/xl/drawings/drawing42.xml" ContentType="application/vnd.openxmlformats-officedocument.drawingml.chartshapes+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worksheets/sheet1.xml" ContentType="application/vnd.openxmlformats-officedocument.spreadsheetml.worksheet+xml"/>
  <Override PartName="/xl/charts/chart62.xml" ContentType="application/vnd.openxmlformats-officedocument.drawingml.chart+xml"/>
  <Override PartName="/xl/worksheets/sheet2.xml" ContentType="application/vnd.openxmlformats-officedocument.spreadsheetml.worksheet+xml"/>
  <Override PartName="/xl/charts/chart63.xml" ContentType="application/vnd.openxmlformats-officedocument.drawingml.chart+xml"/>
  <Override PartName="/xl/worksheets/sheet3.xml" ContentType="application/vnd.openxmlformats-officedocument.spreadsheetml.workshee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trlProps/ctrlProp2.xml" ContentType="application/vnd.ms-excel.controlproperties+xml"/>
  <Override PartName="/xl/ctrlProps/ctrlProp1.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P:\D03\Farm Management\Production Economics\COP Crop\2022 Crop\"/>
    </mc:Choice>
  </mc:AlternateContent>
  <xr:revisionPtr revIDLastSave="0" documentId="8_{ECB6A8FE-7E4D-4F45-9083-800C6358D1E0}" xr6:coauthVersionLast="47" xr6:coauthVersionMax="47" xr10:uidLastSave="{00000000-0000-0000-0000-000000000000}"/>
  <workbookProtection workbookAlgorithmName="SHA-512" workbookHashValue="IsJgpPYQYa/EVSiY/94w7OZ5pnw48KP7Y9BSxcm2cm4Y22jwlNkt6gfSHfVWPyIyVkssrvhSB9GM+MbH9uvl7w==" workbookSaltValue="Phr5FOUPt41eDjFjvSQgTQ==" workbookSpinCount="100000" lockStructure="1"/>
  <bookViews>
    <workbookView xWindow="-28920" yWindow="3795" windowWidth="29040" windowHeight="15840" xr2:uid="{00000000-000D-0000-FFFF-FFFF00000000}"/>
  </bookViews>
  <sheets>
    <sheet name="Introduction" sheetId="4" r:id="rId1"/>
    <sheet name="Summary" sheetId="2" r:id="rId2"/>
    <sheet name="Risk Analysis" sheetId="6" r:id="rId3"/>
    <sheet name="Input" sheetId="1" r:id="rId4"/>
    <sheet name="Details" sheetId="3" r:id="rId5"/>
    <sheet name="Charts HIDE)" sheetId="8" state="hidden" r:id="rId6"/>
    <sheet name="Chart data (HIDE)" sheetId="7" state="hidden" r:id="rId7"/>
    <sheet name="For PPT (HIDE)" sheetId="9" state="hidden" r:id="rId8"/>
  </sheets>
  <definedNames>
    <definedName name="\A" localSheetId="6">#REF!</definedName>
    <definedName name="\A" localSheetId="5">#REF!</definedName>
    <definedName name="\A" localSheetId="7">#REF!</definedName>
    <definedName name="\A" localSheetId="2">#REF!</definedName>
    <definedName name="\A">#REF!</definedName>
    <definedName name="\B" localSheetId="6">#REF!</definedName>
    <definedName name="\B" localSheetId="5">#REF!</definedName>
    <definedName name="\B" localSheetId="7">#REF!</definedName>
    <definedName name="\B" localSheetId="2">#REF!</definedName>
    <definedName name="\B">#REF!</definedName>
    <definedName name="\C" localSheetId="6">#N/A</definedName>
    <definedName name="\C" localSheetId="5">#N/A</definedName>
    <definedName name="\C" localSheetId="7">#REF!</definedName>
    <definedName name="\C" localSheetId="2">#REF!</definedName>
    <definedName name="\C">#REF!</definedName>
    <definedName name="\D" localSheetId="6">#N/A</definedName>
    <definedName name="\D" localSheetId="5">#N/A</definedName>
    <definedName name="\D" localSheetId="7">#REF!</definedName>
    <definedName name="\D" localSheetId="2">#REF!</definedName>
    <definedName name="\D">#REF!</definedName>
    <definedName name="\E" localSheetId="6">#REF!</definedName>
    <definedName name="\E" localSheetId="5">#REF!</definedName>
    <definedName name="\E" localSheetId="7">#REF!</definedName>
    <definedName name="\E" localSheetId="2">#REF!</definedName>
    <definedName name="\E">#REF!</definedName>
    <definedName name="\F" localSheetId="6">#REF!</definedName>
    <definedName name="\F" localSheetId="5">#REF!</definedName>
    <definedName name="\F" localSheetId="7">#REF!</definedName>
    <definedName name="\F" localSheetId="2">#REF!</definedName>
    <definedName name="\F">#REF!</definedName>
    <definedName name="\H" localSheetId="6">#N/A</definedName>
    <definedName name="\H" localSheetId="5">#N/A</definedName>
    <definedName name="\H" localSheetId="7">#REF!</definedName>
    <definedName name="\H" localSheetId="2">#REF!</definedName>
    <definedName name="\H">#REF!</definedName>
    <definedName name="\I" localSheetId="6">#N/A</definedName>
    <definedName name="\I" localSheetId="5">#N/A</definedName>
    <definedName name="\I" localSheetId="7">#REF!</definedName>
    <definedName name="\I" localSheetId="2">#REF!</definedName>
    <definedName name="\I">#REF!</definedName>
    <definedName name="\K">#N/A</definedName>
    <definedName name="\L" localSheetId="6">#REF!</definedName>
    <definedName name="\L" localSheetId="5">#REF!</definedName>
    <definedName name="\L" localSheetId="7">#REF!</definedName>
    <definedName name="\L" localSheetId="2">#REF!</definedName>
    <definedName name="\L">#REF!</definedName>
    <definedName name="\N" localSheetId="6">#N/A</definedName>
    <definedName name="\N" localSheetId="5">#N/A</definedName>
    <definedName name="\N" localSheetId="7">#REF!</definedName>
    <definedName name="\N" localSheetId="2">#REF!</definedName>
    <definedName name="\N">#REF!</definedName>
    <definedName name="\O" localSheetId="6">#REF!</definedName>
    <definedName name="\O" localSheetId="5">#REF!</definedName>
    <definedName name="\O" localSheetId="7">#REF!</definedName>
    <definedName name="\O" localSheetId="2">#REF!</definedName>
    <definedName name="\O">#REF!</definedName>
    <definedName name="\P">#N/A</definedName>
    <definedName name="\R" localSheetId="6">#REF!</definedName>
    <definedName name="\R" localSheetId="5">#REF!</definedName>
    <definedName name="\R" localSheetId="7">#REF!</definedName>
    <definedName name="\R" localSheetId="2">#REF!</definedName>
    <definedName name="\R">#REF!</definedName>
    <definedName name="\S" localSheetId="6">#N/A</definedName>
    <definedName name="\S" localSheetId="5">#N/A</definedName>
    <definedName name="\S" localSheetId="7">#REF!</definedName>
    <definedName name="\S" localSheetId="2">#REF!</definedName>
    <definedName name="\S">#REF!</definedName>
    <definedName name="\T" localSheetId="6">#REF!</definedName>
    <definedName name="\T" localSheetId="5">#REF!</definedName>
    <definedName name="\T" localSheetId="7">#REF!</definedName>
    <definedName name="\T" localSheetId="2">#REF!</definedName>
    <definedName name="\T">#REF!</definedName>
    <definedName name="\U" localSheetId="6">#REF!</definedName>
    <definedName name="\U" localSheetId="5">#REF!</definedName>
    <definedName name="\U" localSheetId="7">#REF!</definedName>
    <definedName name="\U" localSheetId="2">#REF!</definedName>
    <definedName name="\U">#REF!</definedName>
    <definedName name="\W" localSheetId="6">#N/A</definedName>
    <definedName name="\W" localSheetId="5">#N/A</definedName>
    <definedName name="\W" localSheetId="7">#REF!</definedName>
    <definedName name="\W" localSheetId="2">#REF!</definedName>
    <definedName name="\W">#REF!</definedName>
    <definedName name="\X">#N/A</definedName>
    <definedName name="\Y" localSheetId="6">#REF!</definedName>
    <definedName name="\Y" localSheetId="5">#REF!</definedName>
    <definedName name="\Y" localSheetId="7">#REF!</definedName>
    <definedName name="\Y" localSheetId="2">#REF!</definedName>
    <definedName name="\Y">#REF!</definedName>
    <definedName name="ALL">#N/A</definedName>
    <definedName name="_xlnm.Print_Area" localSheetId="5">'Charts HIDE)'!$A$1:$Q$107</definedName>
    <definedName name="_xlnm.Print_Area" localSheetId="4">Details!$A$1:$I$430</definedName>
    <definedName name="_xlnm.Print_Area" localSheetId="7">'For PPT (HIDE)'!#REF!</definedName>
    <definedName name="_xlnm.Print_Area" localSheetId="0">Introduction!$A$1:$J$50</definedName>
    <definedName name="_xlnm.Print_Area" localSheetId="2">'Risk Analysis'!$A$1:$K$46</definedName>
    <definedName name="_xlnm.Print_Area" localSheetId="1">Summary!$A$1:$K$65</definedName>
    <definedName name="Z_6E930F6D_F725_11D2_92B5_0004ACD86FC2_.wvu.PrintArea" localSheetId="0" hidden="1">Introduction!$A$5:$A$51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 l="1"/>
  <c r="G223" i="1" l="1"/>
  <c r="A88" i="7"/>
  <c r="A81" i="7"/>
  <c r="A76" i="7"/>
  <c r="D86" i="7"/>
  <c r="D85" i="7"/>
  <c r="D84" i="7"/>
  <c r="D83" i="7"/>
  <c r="A68" i="7"/>
  <c r="F63" i="7"/>
  <c r="F65" i="7"/>
  <c r="C63" i="7"/>
  <c r="C65" i="7" s="1"/>
  <c r="C64" i="7"/>
  <c r="B63" i="7"/>
  <c r="B64" i="7" s="1"/>
  <c r="A50" i="7"/>
  <c r="A51" i="7"/>
  <c r="A34" i="7"/>
  <c r="I7" i="7"/>
  <c r="J7" i="7" s="1"/>
  <c r="C136" i="9"/>
  <c r="C135" i="9"/>
  <c r="C134" i="9"/>
  <c r="C133" i="9"/>
  <c r="C132" i="9"/>
  <c r="C131" i="9"/>
  <c r="C130" i="9"/>
  <c r="C129" i="9"/>
  <c r="C128" i="9"/>
  <c r="C127" i="9"/>
  <c r="C126" i="9"/>
  <c r="C125" i="9"/>
  <c r="C124" i="9"/>
  <c r="C123" i="9"/>
  <c r="C122" i="9"/>
  <c r="C121" i="9"/>
  <c r="C120" i="9"/>
  <c r="C118" i="9"/>
  <c r="C116" i="9"/>
  <c r="C115" i="9"/>
  <c r="C114" i="9"/>
  <c r="C113" i="9"/>
  <c r="C112" i="9"/>
  <c r="C111" i="9"/>
  <c r="C110" i="9"/>
  <c r="C109" i="9"/>
  <c r="C108" i="9"/>
  <c r="C107" i="9"/>
  <c r="C106" i="9"/>
  <c r="C105" i="9"/>
  <c r="C104" i="9"/>
  <c r="C103" i="9"/>
  <c r="C102" i="9"/>
  <c r="C101" i="9"/>
  <c r="C100" i="9"/>
  <c r="C98" i="9"/>
  <c r="AC45" i="9"/>
  <c r="CR44" i="9"/>
  <c r="BE39" i="9"/>
  <c r="AZ32" i="9"/>
  <c r="CU45" i="9"/>
  <c r="CT45" i="9"/>
  <c r="CS45" i="9"/>
  <c r="CR45" i="9"/>
  <c r="CQ45" i="9"/>
  <c r="CP45" i="9"/>
  <c r="CO45" i="9"/>
  <c r="CI45" i="9"/>
  <c r="CH45" i="9"/>
  <c r="CG45" i="9"/>
  <c r="CC45" i="9"/>
  <c r="BS45" i="9"/>
  <c r="BR45" i="9"/>
  <c r="BQ45" i="9"/>
  <c r="BA45" i="9"/>
  <c r="S23" i="9"/>
  <c r="AI45" i="9" s="1"/>
  <c r="Z45" i="9"/>
  <c r="Y45" i="9"/>
  <c r="Q23" i="9"/>
  <c r="AD45" i="9"/>
  <c r="BP45" i="9"/>
  <c r="CU44" i="9"/>
  <c r="CT44" i="9"/>
  <c r="CS44" i="9"/>
  <c r="CQ44" i="9"/>
  <c r="CP44" i="9"/>
  <c r="CO44" i="9"/>
  <c r="CI44" i="9"/>
  <c r="CH44" i="9"/>
  <c r="CG44" i="9"/>
  <c r="CC44" i="9"/>
  <c r="BS44" i="9"/>
  <c r="BR44" i="9"/>
  <c r="BQ44" i="9"/>
  <c r="BM44" i="9"/>
  <c r="BA44" i="9"/>
  <c r="Z44" i="9"/>
  <c r="Y22" i="9"/>
  <c r="BB44" i="9"/>
  <c r="CA44" i="9"/>
  <c r="CU43" i="9"/>
  <c r="CT43" i="9"/>
  <c r="CS43" i="9"/>
  <c r="CR43" i="9"/>
  <c r="CQ43" i="9"/>
  <c r="CP43" i="9"/>
  <c r="CO43" i="9"/>
  <c r="CI43" i="9"/>
  <c r="CH43" i="9"/>
  <c r="CG43" i="9"/>
  <c r="CC43" i="9"/>
  <c r="BS43" i="9"/>
  <c r="BR43" i="9"/>
  <c r="BQ43" i="9"/>
  <c r="BM43" i="9"/>
  <c r="BA43" i="9"/>
  <c r="AB21" i="9"/>
  <c r="BN43" i="9"/>
  <c r="AZ43" i="9"/>
  <c r="Z43" i="9"/>
  <c r="Y43" i="9"/>
  <c r="X43" i="9"/>
  <c r="BE43" i="9"/>
  <c r="CU42" i="9"/>
  <c r="CT42" i="9"/>
  <c r="CS42" i="9"/>
  <c r="CR42" i="9"/>
  <c r="CQ42" i="9"/>
  <c r="CP42" i="9"/>
  <c r="CO42" i="9"/>
  <c r="CI42" i="9"/>
  <c r="CH42" i="9"/>
  <c r="CG42" i="9"/>
  <c r="CC42" i="9"/>
  <c r="BS42" i="9"/>
  <c r="BR42" i="9"/>
  <c r="BQ42" i="9"/>
  <c r="BA42" i="9"/>
  <c r="BI42" i="9"/>
  <c r="Z42" i="9"/>
  <c r="AH20" i="9"/>
  <c r="BG42" i="9"/>
  <c r="CU41" i="9"/>
  <c r="CT41" i="9"/>
  <c r="CS41" i="9"/>
  <c r="CR41" i="9"/>
  <c r="CQ41" i="9"/>
  <c r="CP41" i="9"/>
  <c r="CO41" i="9"/>
  <c r="CI41" i="9"/>
  <c r="CH41" i="9"/>
  <c r="CG41" i="9"/>
  <c r="CC41" i="9"/>
  <c r="BS41" i="9"/>
  <c r="BR41" i="9"/>
  <c r="BQ41" i="9"/>
  <c r="AB19" i="9"/>
  <c r="BN41" i="9" s="1"/>
  <c r="BA41" i="9"/>
  <c r="Z41" i="9"/>
  <c r="AQ41" i="9"/>
  <c r="CU40" i="9"/>
  <c r="CT40" i="9"/>
  <c r="CS40" i="9"/>
  <c r="CR40" i="9"/>
  <c r="CQ40" i="9"/>
  <c r="CP40" i="9"/>
  <c r="CO40" i="9"/>
  <c r="CI40" i="9"/>
  <c r="CH40" i="9"/>
  <c r="CG40" i="9"/>
  <c r="CC40" i="9"/>
  <c r="BS40" i="9"/>
  <c r="BR40" i="9"/>
  <c r="BQ40" i="9"/>
  <c r="BA40" i="9"/>
  <c r="Z40" i="9"/>
  <c r="Y40" i="9"/>
  <c r="CU39" i="9"/>
  <c r="CT39" i="9"/>
  <c r="CS39" i="9"/>
  <c r="CR39" i="9"/>
  <c r="CQ39" i="9"/>
  <c r="CP39" i="9"/>
  <c r="CO39" i="9"/>
  <c r="CI39" i="9"/>
  <c r="CH39" i="9"/>
  <c r="CG39" i="9"/>
  <c r="CC39" i="9"/>
  <c r="BS39" i="9"/>
  <c r="BR39" i="9"/>
  <c r="BQ39" i="9"/>
  <c r="BA39" i="9"/>
  <c r="AN39" i="9"/>
  <c r="Z39" i="9"/>
  <c r="Q17" i="9"/>
  <c r="AL39" i="9"/>
  <c r="CU38" i="9"/>
  <c r="CT38" i="9"/>
  <c r="CS38" i="9"/>
  <c r="CR38" i="9"/>
  <c r="CQ38" i="9"/>
  <c r="CP38" i="9"/>
  <c r="CO38" i="9"/>
  <c r="CI38" i="9"/>
  <c r="CH38" i="9"/>
  <c r="CG38" i="9"/>
  <c r="CC38" i="9"/>
  <c r="BS38" i="9"/>
  <c r="BR38" i="9"/>
  <c r="BQ38" i="9"/>
  <c r="BA38" i="9"/>
  <c r="Z38" i="9"/>
  <c r="CU37" i="9"/>
  <c r="CT37" i="9"/>
  <c r="CS37" i="9"/>
  <c r="CR37" i="9"/>
  <c r="CQ37" i="9"/>
  <c r="CP37" i="9"/>
  <c r="CO37" i="9"/>
  <c r="CI37" i="9"/>
  <c r="CH37" i="9"/>
  <c r="CG37" i="9"/>
  <c r="CC37" i="9"/>
  <c r="BS37" i="9"/>
  <c r="BR37" i="9"/>
  <c r="BQ37" i="9"/>
  <c r="BA37" i="9"/>
  <c r="BI37" i="9"/>
  <c r="S15" i="9"/>
  <c r="Z37" i="9"/>
  <c r="Q15" i="9"/>
  <c r="AD37" i="9" s="1"/>
  <c r="CU36" i="9"/>
  <c r="CT36" i="9"/>
  <c r="CS36" i="9"/>
  <c r="CR36" i="9"/>
  <c r="CQ36" i="9"/>
  <c r="CP36" i="9"/>
  <c r="CO36" i="9"/>
  <c r="CI36" i="9"/>
  <c r="CH36" i="9"/>
  <c r="CG36" i="9"/>
  <c r="CC36" i="9"/>
  <c r="BS36" i="9"/>
  <c r="BR36" i="9"/>
  <c r="BQ36" i="9"/>
  <c r="BM36" i="9"/>
  <c r="BA36" i="9"/>
  <c r="Y14" i="9"/>
  <c r="BB36" i="9" s="1"/>
  <c r="AD14" i="9"/>
  <c r="AM36" i="9"/>
  <c r="AJ14" i="9"/>
  <c r="BJ36" i="9"/>
  <c r="Z36" i="9"/>
  <c r="CU32" i="9"/>
  <c r="CS32" i="9"/>
  <c r="CQ32" i="9"/>
  <c r="CH32" i="9"/>
  <c r="CC32" i="9"/>
  <c r="BS32" i="9"/>
  <c r="BR35" i="9"/>
  <c r="BM32" i="9"/>
  <c r="BI32" i="9"/>
  <c r="AM32" i="9"/>
  <c r="X32" i="9"/>
  <c r="AQ32" i="9"/>
  <c r="CU35" i="9"/>
  <c r="CU34" i="9"/>
  <c r="CS35" i="9"/>
  <c r="CR34" i="9"/>
  <c r="CQ35" i="9"/>
  <c r="CQ34" i="9"/>
  <c r="CO35" i="9"/>
  <c r="CH35" i="9"/>
  <c r="CG34" i="9"/>
  <c r="CC35" i="9"/>
  <c r="BR34" i="9"/>
  <c r="BM35" i="9"/>
  <c r="BA34" i="9"/>
  <c r="Z13" i="9"/>
  <c r="BC35" i="9"/>
  <c r="CT34" i="9"/>
  <c r="Y34" i="9"/>
  <c r="CU33" i="9"/>
  <c r="CT33" i="9"/>
  <c r="CT32" i="9"/>
  <c r="CS33" i="9"/>
  <c r="CR32" i="9"/>
  <c r="CQ33" i="9"/>
  <c r="CP33" i="9"/>
  <c r="CO33" i="9"/>
  <c r="CO32" i="9"/>
  <c r="CH33" i="9"/>
  <c r="CG32" i="9"/>
  <c r="CC33" i="9"/>
  <c r="BR33" i="9"/>
  <c r="BR32" i="9"/>
  <c r="BQ33" i="9"/>
  <c r="BM33" i="9"/>
  <c r="BA33" i="9"/>
  <c r="BA32" i="9"/>
  <c r="AN32" i="9"/>
  <c r="BF32" i="9"/>
  <c r="Z33" i="9"/>
  <c r="Z32" i="9"/>
  <c r="R11" i="9"/>
  <c r="CU30" i="9"/>
  <c r="CS30" i="9"/>
  <c r="CH30" i="9"/>
  <c r="CC30" i="9"/>
  <c r="BR30" i="9"/>
  <c r="BQ31" i="9"/>
  <c r="BM30" i="9"/>
  <c r="AL30" i="9"/>
  <c r="CU31" i="9"/>
  <c r="CT31" i="9"/>
  <c r="CT30" i="9"/>
  <c r="CS31" i="9"/>
  <c r="CR30" i="9"/>
  <c r="CQ31" i="9"/>
  <c r="CX29" i="9" s="1"/>
  <c r="CQ30" i="9"/>
  <c r="CP30" i="9"/>
  <c r="CO31" i="9"/>
  <c r="CO30" i="9"/>
  <c r="CI31" i="9"/>
  <c r="CH31" i="9"/>
  <c r="CG31" i="9"/>
  <c r="CG30" i="9"/>
  <c r="CC31" i="9"/>
  <c r="BS31" i="9"/>
  <c r="BS30" i="9"/>
  <c r="BR31" i="9"/>
  <c r="BQ30" i="9"/>
  <c r="BM31" i="9"/>
  <c r="BA31" i="9"/>
  <c r="BA30" i="9"/>
  <c r="BI31" i="9"/>
  <c r="BI30" i="9"/>
  <c r="AA30" i="9"/>
  <c r="Y30" i="9"/>
  <c r="BL31" i="9"/>
  <c r="CU29" i="9"/>
  <c r="CT29" i="9"/>
  <c r="CS29" i="9"/>
  <c r="CS47" i="9" s="1"/>
  <c r="CR29" i="9"/>
  <c r="CQ29" i="9"/>
  <c r="CP29" i="9"/>
  <c r="CO29" i="9"/>
  <c r="CI29" i="9"/>
  <c r="CL29" i="9"/>
  <c r="CH29" i="9"/>
  <c r="CJ29" i="9"/>
  <c r="CC29" i="9"/>
  <c r="BS29" i="9"/>
  <c r="BR29" i="9"/>
  <c r="BQ29" i="9"/>
  <c r="BM29" i="9"/>
  <c r="BA29" i="9"/>
  <c r="AZ29" i="9"/>
  <c r="S7" i="9"/>
  <c r="AG7" i="9"/>
  <c r="BY29" i="9" s="1"/>
  <c r="Z29" i="9"/>
  <c r="Y29" i="9"/>
  <c r="BA28" i="9"/>
  <c r="BY28" i="9"/>
  <c r="W5" i="9"/>
  <c r="A5" i="7"/>
  <c r="A4" i="7"/>
  <c r="A3" i="7"/>
  <c r="B15" i="3"/>
  <c r="G131" i="1"/>
  <c r="E256" i="3"/>
  <c r="E84" i="3"/>
  <c r="E83" i="3"/>
  <c r="C83" i="3"/>
  <c r="G73" i="1"/>
  <c r="G75" i="1" s="1"/>
  <c r="G224" i="1"/>
  <c r="G135" i="1"/>
  <c r="E273" i="3"/>
  <c r="F128" i="1"/>
  <c r="G128" i="1"/>
  <c r="E234" i="3" s="1"/>
  <c r="G129" i="1"/>
  <c r="E235" i="3"/>
  <c r="F47" i="1"/>
  <c r="F48" i="1"/>
  <c r="F49" i="1"/>
  <c r="G49" i="1"/>
  <c r="G50" i="1" s="1"/>
  <c r="E143" i="1"/>
  <c r="A11" i="1"/>
  <c r="A10" i="1"/>
  <c r="E222" i="3"/>
  <c r="E221" i="3"/>
  <c r="E223" i="3" s="1"/>
  <c r="G117" i="1"/>
  <c r="G207" i="1"/>
  <c r="G206" i="1"/>
  <c r="G205" i="1"/>
  <c r="G204" i="1"/>
  <c r="G203" i="1"/>
  <c r="G202" i="1"/>
  <c r="G201" i="1"/>
  <c r="G200" i="1"/>
  <c r="G208" i="1"/>
  <c r="G199" i="1"/>
  <c r="G198" i="1"/>
  <c r="G197" i="1"/>
  <c r="G196" i="1"/>
  <c r="G195" i="1"/>
  <c r="G194" i="1"/>
  <c r="G193" i="1"/>
  <c r="G192" i="1"/>
  <c r="G191" i="1"/>
  <c r="G190" i="1"/>
  <c r="G189" i="1"/>
  <c r="G188" i="1"/>
  <c r="G187" i="1"/>
  <c r="G186" i="1"/>
  <c r="G185" i="1"/>
  <c r="F139" i="1"/>
  <c r="G109" i="1"/>
  <c r="G90" i="1"/>
  <c r="I38" i="2"/>
  <c r="A30" i="7" s="1"/>
  <c r="A86" i="7" s="1"/>
  <c r="A94" i="7" s="1"/>
  <c r="H38" i="2"/>
  <c r="A29" i="7"/>
  <c r="A85" i="7"/>
  <c r="A93" i="7" s="1"/>
  <c r="G38" i="2"/>
  <c r="A28" i="7" s="1"/>
  <c r="A84" i="7" s="1"/>
  <c r="A92" i="7" s="1"/>
  <c r="F38" i="2"/>
  <c r="A27" i="7" s="1"/>
  <c r="A83" i="7" s="1"/>
  <c r="A91" i="7" s="1"/>
  <c r="E108" i="3"/>
  <c r="G108" i="3" s="1"/>
  <c r="E107" i="3"/>
  <c r="G107" i="3" s="1"/>
  <c r="E106" i="3"/>
  <c r="G106" i="3" s="1"/>
  <c r="E105" i="3"/>
  <c r="G105" i="3" s="1"/>
  <c r="E104" i="3"/>
  <c r="E103" i="3"/>
  <c r="G103" i="3" s="1"/>
  <c r="E102" i="3"/>
  <c r="E101" i="3"/>
  <c r="G101" i="3" s="1"/>
  <c r="E100" i="3"/>
  <c r="G100" i="3" s="1"/>
  <c r="E99" i="3"/>
  <c r="G99" i="3" s="1"/>
  <c r="E98" i="3"/>
  <c r="G98" i="3" s="1"/>
  <c r="D108" i="3"/>
  <c r="H108" i="3" s="1"/>
  <c r="D107" i="3"/>
  <c r="D106" i="3"/>
  <c r="D105" i="3"/>
  <c r="D104" i="3"/>
  <c r="D103" i="3"/>
  <c r="D102" i="3"/>
  <c r="D101" i="3"/>
  <c r="D100" i="3"/>
  <c r="D99" i="3"/>
  <c r="D98" i="3"/>
  <c r="G134" i="1"/>
  <c r="E272" i="3"/>
  <c r="E274" i="3" s="1"/>
  <c r="E276" i="3" s="1"/>
  <c r="D17" i="2" s="1"/>
  <c r="B305" i="3"/>
  <c r="G169" i="1"/>
  <c r="F112" i="1" s="1"/>
  <c r="H306" i="3"/>
  <c r="I4" i="2"/>
  <c r="F12" i="6"/>
  <c r="H4" i="2"/>
  <c r="E12" i="6" s="1"/>
  <c r="G4" i="2"/>
  <c r="D12" i="6"/>
  <c r="F4" i="2"/>
  <c r="C12" i="6"/>
  <c r="I37" i="2"/>
  <c r="H37" i="2"/>
  <c r="G37" i="2"/>
  <c r="F37" i="2"/>
  <c r="D37" i="2"/>
  <c r="F14" i="6"/>
  <c r="D94" i="7"/>
  <c r="F180" i="1"/>
  <c r="G180" i="1"/>
  <c r="G178" i="1"/>
  <c r="H314" i="3" s="1"/>
  <c r="G177" i="1"/>
  <c r="H313" i="3"/>
  <c r="G179" i="1"/>
  <c r="H315" i="3" s="1"/>
  <c r="G176" i="1"/>
  <c r="H312" i="3"/>
  <c r="G175" i="1"/>
  <c r="H311" i="3" s="1"/>
  <c r="F181" i="1"/>
  <c r="G181" i="1"/>
  <c r="H317" i="3" s="1"/>
  <c r="E264" i="3"/>
  <c r="C262" i="3"/>
  <c r="E257" i="3"/>
  <c r="C255" i="3"/>
  <c r="E250" i="3"/>
  <c r="E243" i="3"/>
  <c r="C248" i="3"/>
  <c r="C241" i="3"/>
  <c r="E228" i="3"/>
  <c r="E227" i="3"/>
  <c r="E229" i="3" s="1"/>
  <c r="D15" i="2" s="1"/>
  <c r="E219" i="3"/>
  <c r="E218" i="3"/>
  <c r="G120" i="1"/>
  <c r="G122" i="1" s="1"/>
  <c r="E204" i="3"/>
  <c r="E203" i="3"/>
  <c r="E201" i="3"/>
  <c r="E199" i="3"/>
  <c r="E200" i="3" s="1"/>
  <c r="E196" i="3"/>
  <c r="E197" i="3"/>
  <c r="C184" i="3"/>
  <c r="E185" i="3"/>
  <c r="I11" i="2"/>
  <c r="C181" i="3"/>
  <c r="E182" i="3"/>
  <c r="E179" i="3"/>
  <c r="G11" i="2" s="1"/>
  <c r="E176" i="3"/>
  <c r="F11" i="2"/>
  <c r="C178" i="3"/>
  <c r="C175" i="3"/>
  <c r="C112" i="3"/>
  <c r="E157" i="3"/>
  <c r="E158" i="3" s="1"/>
  <c r="C157" i="3"/>
  <c r="E165" i="3"/>
  <c r="E163" i="3"/>
  <c r="E161" i="3"/>
  <c r="E159" i="3"/>
  <c r="E146" i="3"/>
  <c r="E131" i="3"/>
  <c r="E116" i="3"/>
  <c r="E144" i="3"/>
  <c r="E129" i="3"/>
  <c r="E114" i="3"/>
  <c r="E142" i="3"/>
  <c r="E143" i="3" s="1"/>
  <c r="C142" i="3"/>
  <c r="E150" i="3"/>
  <c r="E148" i="3"/>
  <c r="D34" i="1"/>
  <c r="E135" i="3"/>
  <c r="E120" i="3"/>
  <c r="E133" i="3"/>
  <c r="E118" i="3"/>
  <c r="E127" i="3"/>
  <c r="E128" i="3" s="1"/>
  <c r="C127" i="3"/>
  <c r="E112" i="3"/>
  <c r="E113" i="3" s="1"/>
  <c r="E115" i="3" s="1"/>
  <c r="E117" i="3" s="1"/>
  <c r="E119" i="3" s="1"/>
  <c r="E121" i="3" s="1"/>
  <c r="H94" i="3"/>
  <c r="H104" i="3" s="1"/>
  <c r="E71" i="3"/>
  <c r="E70" i="3"/>
  <c r="E72" i="3" s="1"/>
  <c r="D8" i="2" s="1"/>
  <c r="E53" i="3"/>
  <c r="E49" i="3"/>
  <c r="E45" i="3"/>
  <c r="E41" i="3"/>
  <c r="G116" i="1"/>
  <c r="F90" i="1"/>
  <c r="F91" i="1"/>
  <c r="F89" i="1"/>
  <c r="F88" i="1"/>
  <c r="F87" i="1"/>
  <c r="F86" i="1"/>
  <c r="F85" i="1"/>
  <c r="F84" i="1"/>
  <c r="F83" i="1"/>
  <c r="F82" i="1"/>
  <c r="G91" i="1"/>
  <c r="G89" i="1"/>
  <c r="G88" i="1"/>
  <c r="G87" i="1"/>
  <c r="G86" i="1"/>
  <c r="G85" i="1"/>
  <c r="G84" i="1"/>
  <c r="G83" i="1"/>
  <c r="G82" i="1"/>
  <c r="G81" i="1"/>
  <c r="G92" i="1" s="1"/>
  <c r="F81" i="1"/>
  <c r="G74" i="1"/>
  <c r="G72" i="1"/>
  <c r="G71" i="1"/>
  <c r="G69" i="1"/>
  <c r="G46" i="1"/>
  <c r="F55" i="1"/>
  <c r="G33" i="1"/>
  <c r="B47" i="7" s="1"/>
  <c r="E47" i="7" s="1"/>
  <c r="F33" i="1"/>
  <c r="E259" i="3" s="1"/>
  <c r="B46" i="7"/>
  <c r="E255" i="3"/>
  <c r="E33" i="1"/>
  <c r="B45" i="7" s="1"/>
  <c r="E139" i="3"/>
  <c r="D33" i="1"/>
  <c r="F39" i="2" s="1"/>
  <c r="B44" i="7"/>
  <c r="G20" i="1"/>
  <c r="B6" i="3" s="1"/>
  <c r="G219" i="1"/>
  <c r="G18" i="1"/>
  <c r="E355" i="3" s="1"/>
  <c r="A35" i="6"/>
  <c r="A28" i="6"/>
  <c r="A15" i="3"/>
  <c r="A13" i="3"/>
  <c r="A10" i="3"/>
  <c r="A6" i="3"/>
  <c r="A3" i="3"/>
  <c r="F59" i="1"/>
  <c r="E58" i="3" s="1"/>
  <c r="E59" i="3" s="1"/>
  <c r="F56" i="1"/>
  <c r="E46" i="3" s="1"/>
  <c r="E47" i="3" s="1"/>
  <c r="A9" i="1"/>
  <c r="A7" i="1"/>
  <c r="A5" i="1"/>
  <c r="A4" i="1"/>
  <c r="E25" i="3"/>
  <c r="E24" i="3"/>
  <c r="E26" i="3"/>
  <c r="E28" i="3"/>
  <c r="E29" i="3"/>
  <c r="E35" i="3"/>
  <c r="E36" i="3"/>
  <c r="E37" i="3"/>
  <c r="E38" i="3" s="1"/>
  <c r="D6" i="2" s="1"/>
  <c r="I6" i="2" s="1"/>
  <c r="E57" i="3"/>
  <c r="E61" i="3"/>
  <c r="E65" i="3"/>
  <c r="H307" i="3"/>
  <c r="E327" i="3"/>
  <c r="E328" i="3"/>
  <c r="E75" i="3"/>
  <c r="E76" i="3"/>
  <c r="E79" i="3"/>
  <c r="E80" i="3"/>
  <c r="E87" i="3"/>
  <c r="E88" i="3"/>
  <c r="E369" i="3"/>
  <c r="E377" i="3"/>
  <c r="E385" i="3"/>
  <c r="E340" i="3"/>
  <c r="E347" i="3"/>
  <c r="E354" i="3"/>
  <c r="E191" i="3"/>
  <c r="E192" i="3"/>
  <c r="E193" i="3"/>
  <c r="E195" i="3"/>
  <c r="E279" i="3"/>
  <c r="E280" i="3"/>
  <c r="E284" i="3"/>
  <c r="E285" i="3"/>
  <c r="E296" i="3"/>
  <c r="E393" i="3"/>
  <c r="C75" i="3"/>
  <c r="C79" i="3"/>
  <c r="C87" i="3"/>
  <c r="E392" i="3"/>
  <c r="E394" i="3" s="1"/>
  <c r="D30" i="2" s="1"/>
  <c r="G23" i="1"/>
  <c r="C166" i="1" s="1"/>
  <c r="E370" i="3"/>
  <c r="G125" i="1"/>
  <c r="E233" i="3"/>
  <c r="G126" i="1"/>
  <c r="E232" i="3" s="1"/>
  <c r="F141" i="1"/>
  <c r="G141" i="1"/>
  <c r="E281" i="3"/>
  <c r="E287" i="3"/>
  <c r="G121" i="1"/>
  <c r="E238" i="3"/>
  <c r="G48" i="1"/>
  <c r="G47" i="1"/>
  <c r="G102" i="3"/>
  <c r="E214" i="3"/>
  <c r="F143" i="1"/>
  <c r="G143" i="1" s="1"/>
  <c r="E283" i="3" s="1"/>
  <c r="E386" i="3"/>
  <c r="E378" i="3"/>
  <c r="F125" i="1"/>
  <c r="B5" i="1"/>
  <c r="A7" i="4"/>
  <c r="E275" i="3"/>
  <c r="F126" i="1"/>
  <c r="H99" i="3"/>
  <c r="E205" i="3"/>
  <c r="H100" i="3"/>
  <c r="E241" i="3"/>
  <c r="E245" i="3"/>
  <c r="G104" i="3"/>
  <c r="E15" i="6"/>
  <c r="E25" i="6" s="1"/>
  <c r="H39" i="2"/>
  <c r="A46" i="7"/>
  <c r="A59" i="7" s="1"/>
  <c r="A72" i="7" s="1"/>
  <c r="E181" i="3"/>
  <c r="G172" i="1"/>
  <c r="E366" i="3"/>
  <c r="E338" i="3"/>
  <c r="E339" i="3" s="1"/>
  <c r="E367" i="3"/>
  <c r="E263" i="3"/>
  <c r="E249" i="3"/>
  <c r="E242" i="3"/>
  <c r="BE29" i="9"/>
  <c r="CF29" i="9"/>
  <c r="AA29" i="9"/>
  <c r="AS29" i="9"/>
  <c r="AY32" i="9"/>
  <c r="AL38" i="9"/>
  <c r="W38" i="9"/>
  <c r="BU38" i="9"/>
  <c r="AH38" i="9"/>
  <c r="AX38" i="9"/>
  <c r="X39" i="9"/>
  <c r="AD39" i="9"/>
  <c r="BF39" i="9"/>
  <c r="AM39" i="9"/>
  <c r="AN42" i="9"/>
  <c r="BM42" i="9"/>
  <c r="AB7" i="9"/>
  <c r="BN29" i="9"/>
  <c r="BP30" i="9"/>
  <c r="J8" i="9"/>
  <c r="AP8" i="9" s="1"/>
  <c r="CB30" i="9" s="1"/>
  <c r="AY33" i="9"/>
  <c r="X33" i="9"/>
  <c r="AM33" i="9"/>
  <c r="BU34" i="9"/>
  <c r="BP34" i="9"/>
  <c r="AH34" i="9"/>
  <c r="AC34" i="9"/>
  <c r="CF34" i="9"/>
  <c r="BL34" i="9"/>
  <c r="CN34" i="9"/>
  <c r="CA34" i="9"/>
  <c r="AX34" i="9"/>
  <c r="AS34" i="9"/>
  <c r="CF40" i="9"/>
  <c r="AQ40" i="9"/>
  <c r="W40" i="9"/>
  <c r="BP40" i="9"/>
  <c r="BL40" i="9"/>
  <c r="CA40" i="9"/>
  <c r="AS40" i="9"/>
  <c r="AY41" i="9"/>
  <c r="X41" i="9"/>
  <c r="BF41" i="9"/>
  <c r="AB22" i="9"/>
  <c r="BN44" i="9"/>
  <c r="AY29" i="9"/>
  <c r="CK29" i="9"/>
  <c r="AX30" i="9"/>
  <c r="AL32" i="9"/>
  <c r="W34" i="9"/>
  <c r="AQ34" i="9"/>
  <c r="AZ28" i="9"/>
  <c r="BM28" i="9"/>
  <c r="BI29" i="9"/>
  <c r="AN29" i="9"/>
  <c r="Y7" i="9"/>
  <c r="BB29" i="9"/>
  <c r="CV31" i="9"/>
  <c r="AY30" i="9"/>
  <c r="X30" i="9"/>
  <c r="AM30" i="9"/>
  <c r="R9" i="9"/>
  <c r="AE31" i="9" s="1"/>
  <c r="CF31" i="9"/>
  <c r="CA31" i="9"/>
  <c r="AQ31" i="9"/>
  <c r="AH10" i="9"/>
  <c r="BG32" i="9"/>
  <c r="AD10" i="9"/>
  <c r="AE10" i="9" s="1"/>
  <c r="BI38" i="9"/>
  <c r="AN38" i="9"/>
  <c r="Y18" i="9"/>
  <c r="BB40" i="9" s="1"/>
  <c r="AH42" i="9"/>
  <c r="W42" i="9"/>
  <c r="AX42" i="9"/>
  <c r="AS42" i="9"/>
  <c r="AH21" i="9"/>
  <c r="BG43" i="9"/>
  <c r="Y21" i="9"/>
  <c r="BB43" i="9"/>
  <c r="BF43" i="9"/>
  <c r="AZ44" i="9"/>
  <c r="AD22" i="9"/>
  <c r="BV44" i="9" s="1"/>
  <c r="AH29" i="9"/>
  <c r="BU29" i="9"/>
  <c r="CN29" i="9"/>
  <c r="BP31" i="9"/>
  <c r="AS33" i="9"/>
  <c r="AZ36" i="9"/>
  <c r="BL38" i="9"/>
  <c r="Z7" i="9"/>
  <c r="BC29" i="9"/>
  <c r="S9" i="9"/>
  <c r="AH9" i="9"/>
  <c r="BU32" i="9"/>
  <c r="BP32" i="9"/>
  <c r="AH32" i="9"/>
  <c r="AC32" i="9"/>
  <c r="CN32" i="9"/>
  <c r="CA32" i="9"/>
  <c r="AX32" i="9"/>
  <c r="CF32" i="9"/>
  <c r="BL32" i="9"/>
  <c r="Q11" i="9"/>
  <c r="AD33" i="9" s="1"/>
  <c r="S13" i="9"/>
  <c r="BP36" i="9"/>
  <c r="AC36" i="9"/>
  <c r="CA36" i="9"/>
  <c r="CF36" i="9"/>
  <c r="X37" i="9"/>
  <c r="AM37" i="9"/>
  <c r="AZ38" i="9"/>
  <c r="Z16" i="9"/>
  <c r="BC38" i="9"/>
  <c r="AD16" i="9"/>
  <c r="Y17" i="9"/>
  <c r="BB39" i="9"/>
  <c r="BM40" i="9"/>
  <c r="AJ18" i="9"/>
  <c r="BJ40" i="9"/>
  <c r="Q20" i="9"/>
  <c r="AD42" i="9"/>
  <c r="BU44" i="9"/>
  <c r="AC44" i="9"/>
  <c r="BE44" i="9"/>
  <c r="W44" i="9"/>
  <c r="CF44" i="9"/>
  <c r="AX44" i="9"/>
  <c r="AY45" i="9"/>
  <c r="BF45" i="9"/>
  <c r="CG29" i="9"/>
  <c r="AN30" i="9"/>
  <c r="AH31" i="9"/>
  <c r="BU31" i="9"/>
  <c r="AA32" i="9"/>
  <c r="CN33" i="9"/>
  <c r="AL36" i="9"/>
  <c r="CN40" i="9"/>
  <c r="AC35" i="9"/>
  <c r="AJ10" i="9"/>
  <c r="BJ32" i="9"/>
  <c r="AY38" i="9"/>
  <c r="X38" i="9"/>
  <c r="CN39" i="9"/>
  <c r="CF39" i="9"/>
  <c r="CA39" i="9"/>
  <c r="BL39" i="9"/>
  <c r="AX39" i="9"/>
  <c r="BU39" i="9"/>
  <c r="BP39" i="9"/>
  <c r="AH39" i="9"/>
  <c r="AC39" i="9"/>
  <c r="X42" i="9"/>
  <c r="AY42" i="9"/>
  <c r="BF42" i="9"/>
  <c r="AM42" i="9"/>
  <c r="CN43" i="9"/>
  <c r="CF43" i="9"/>
  <c r="CA43" i="9"/>
  <c r="BL43" i="9"/>
  <c r="AX43" i="9"/>
  <c r="AQ43" i="9"/>
  <c r="W43" i="9"/>
  <c r="BP43" i="9"/>
  <c r="AC43" i="9"/>
  <c r="BU43" i="9"/>
  <c r="AH43" i="9"/>
  <c r="AJ21" i="9"/>
  <c r="BJ43" i="9"/>
  <c r="AN45" i="9"/>
  <c r="BI45" i="9"/>
  <c r="AZ35" i="9"/>
  <c r="AA37" i="9"/>
  <c r="AL37" i="9"/>
  <c r="X36" i="9"/>
  <c r="AY36" i="9"/>
  <c r="BF36" i="9"/>
  <c r="CN37" i="9"/>
  <c r="BP37" i="9"/>
  <c r="AC37" i="9"/>
  <c r="AY40" i="9"/>
  <c r="BF40" i="9"/>
  <c r="AM40" i="9"/>
  <c r="R18" i="9"/>
  <c r="AE40" i="9" s="1"/>
  <c r="CN41" i="9"/>
  <c r="CF41" i="9"/>
  <c r="CA41" i="9"/>
  <c r="BL41" i="9"/>
  <c r="AX41" i="9"/>
  <c r="BE41" i="9"/>
  <c r="AL41" i="9"/>
  <c r="BU41" i="9"/>
  <c r="AH41" i="9"/>
  <c r="BP41" i="9"/>
  <c r="AC41" i="9"/>
  <c r="J20" i="9"/>
  <c r="L20" i="9" s="1"/>
  <c r="AT42" i="9" s="1"/>
  <c r="AN43" i="9"/>
  <c r="BI43" i="9"/>
  <c r="S21" i="9"/>
  <c r="AF43" i="9"/>
  <c r="X44" i="9"/>
  <c r="AY44" i="9"/>
  <c r="CN45" i="9"/>
  <c r="CF45" i="9"/>
  <c r="CA45" i="9"/>
  <c r="BL45" i="9"/>
  <c r="AX45" i="9"/>
  <c r="BE45" i="9"/>
  <c r="AL45" i="9"/>
  <c r="BU45" i="9"/>
  <c r="AH45" i="9"/>
  <c r="AQ45" i="9"/>
  <c r="W45" i="9"/>
  <c r="AJ23" i="9"/>
  <c r="BJ45" i="9"/>
  <c r="AQ37" i="9"/>
  <c r="W39" i="9"/>
  <c r="AQ39" i="9"/>
  <c r="BI39" i="9"/>
  <c r="W41" i="9"/>
  <c r="AA43" i="9"/>
  <c r="AI43" i="9"/>
  <c r="Y44" i="9"/>
  <c r="R22" i="9"/>
  <c r="AE44" i="9"/>
  <c r="AI22" i="9"/>
  <c r="BH44" i="9"/>
  <c r="AE22" i="9"/>
  <c r="AF22" i="9" s="1"/>
  <c r="BX44" i="9" s="1"/>
  <c r="BW44" i="9"/>
  <c r="BF44" i="9"/>
  <c r="AM44" i="9"/>
  <c r="Z31" i="9"/>
  <c r="Z30" i="9"/>
  <c r="AZ31" i="9"/>
  <c r="AZ30" i="9"/>
  <c r="AB8" i="9"/>
  <c r="BN30" i="9"/>
  <c r="CI33" i="9"/>
  <c r="CI34" i="9"/>
  <c r="T23" i="9"/>
  <c r="AJ45" i="9"/>
  <c r="S11" i="9"/>
  <c r="AI33" i="9" s="1"/>
  <c r="T11" i="9"/>
  <c r="AJ33" i="9"/>
  <c r="AJ11" i="9"/>
  <c r="AG11" i="9"/>
  <c r="Z11" i="9"/>
  <c r="Y11" i="9"/>
  <c r="BB33" i="9" s="1"/>
  <c r="AA33" i="9"/>
  <c r="AZ33" i="9"/>
  <c r="AD12" i="9"/>
  <c r="BV34" i="9" s="1"/>
  <c r="Y35" i="9"/>
  <c r="Y32" i="9"/>
  <c r="Z15" i="9"/>
  <c r="BC37" i="9" s="1"/>
  <c r="AZ37" i="9"/>
  <c r="Y15" i="9"/>
  <c r="BB37" i="9"/>
  <c r="AG15" i="9"/>
  <c r="BY37" i="9"/>
  <c r="Y38" i="9"/>
  <c r="R16" i="9"/>
  <c r="AE38" i="9"/>
  <c r="AI16" i="9"/>
  <c r="BH38" i="9"/>
  <c r="BF38" i="9"/>
  <c r="J16" i="9"/>
  <c r="AM38" i="9"/>
  <c r="BM38" i="9"/>
  <c r="AB16" i="9"/>
  <c r="BN38" i="9"/>
  <c r="BI40" i="9"/>
  <c r="AN40" i="9"/>
  <c r="J18" i="9"/>
  <c r="L18" i="9" s="1"/>
  <c r="AT40" i="9" s="1"/>
  <c r="AM41" i="9"/>
  <c r="AH19" i="9"/>
  <c r="BG41" i="9"/>
  <c r="AF45" i="9"/>
  <c r="AD15" i="9"/>
  <c r="BV37" i="9"/>
  <c r="AM29" i="9"/>
  <c r="AJ7" i="9"/>
  <c r="BJ29" i="9"/>
  <c r="J7" i="9"/>
  <c r="AP7" i="9" s="1"/>
  <c r="CB29" i="9" s="1"/>
  <c r="BF29" i="9"/>
  <c r="AI37" i="9"/>
  <c r="AF37" i="9"/>
  <c r="S8" i="9"/>
  <c r="Y33" i="9"/>
  <c r="BQ35" i="9"/>
  <c r="BQ32" i="9"/>
  <c r="CI35" i="9"/>
  <c r="CI32" i="9"/>
  <c r="AA45" i="9"/>
  <c r="CA30" i="9"/>
  <c r="AD23" i="9"/>
  <c r="AE23" i="9" s="1"/>
  <c r="BV45" i="9"/>
  <c r="CN44" i="9"/>
  <c r="AL44" i="9"/>
  <c r="AH44" i="9"/>
  <c r="AY37" i="9"/>
  <c r="AC31" i="9"/>
  <c r="J17" i="9"/>
  <c r="AI11" i="9"/>
  <c r="BH33" i="9"/>
  <c r="W31" i="9"/>
  <c r="AX31" i="9"/>
  <c r="CN31" i="9"/>
  <c r="BF33" i="9"/>
  <c r="AH11" i="9"/>
  <c r="BG33" i="9" s="1"/>
  <c r="DA31" i="9"/>
  <c r="Q9" i="9"/>
  <c r="AD31" i="9" s="1"/>
  <c r="AS35" i="9"/>
  <c r="AG10" i="9"/>
  <c r="AS32" i="9"/>
  <c r="BA35" i="9"/>
  <c r="BE38" i="9"/>
  <c r="BP38" i="9"/>
  <c r="CA38" i="9"/>
  <c r="AQ38" i="9"/>
  <c r="AC38" i="9"/>
  <c r="CN38" i="9"/>
  <c r="CF38" i="9"/>
  <c r="AY39" i="9"/>
  <c r="AH17" i="9"/>
  <c r="BG39" i="9" s="1"/>
  <c r="AQ36" i="9"/>
  <c r="AQ30" i="9"/>
  <c r="BU30" i="9"/>
  <c r="W30" i="9"/>
  <c r="Y36" i="9"/>
  <c r="AI14" i="9"/>
  <c r="BH36" i="9"/>
  <c r="BL44" i="9"/>
  <c r="AQ44" i="9"/>
  <c r="BP44" i="9"/>
  <c r="AE15" i="9"/>
  <c r="BW37" i="9" s="1"/>
  <c r="AG14" i="9"/>
  <c r="BY36" i="9" s="1"/>
  <c r="AL31" i="9"/>
  <c r="AC30" i="9"/>
  <c r="AN31" i="9"/>
  <c r="AH7" i="9"/>
  <c r="BG29" i="9"/>
  <c r="CI30" i="9"/>
  <c r="CP31" i="9"/>
  <c r="CW29" i="9" s="1"/>
  <c r="CW30" i="9"/>
  <c r="W33" i="9"/>
  <c r="BQ34" i="9"/>
  <c r="CC34" i="9"/>
  <c r="CP35" i="9"/>
  <c r="CP32" i="9"/>
  <c r="AS30" i="9"/>
  <c r="Y31" i="9"/>
  <c r="BF31" i="9"/>
  <c r="DA29" i="9"/>
  <c r="CG33" i="9"/>
  <c r="Z34" i="9"/>
  <c r="CO34" i="9"/>
  <c r="Z35" i="9"/>
  <c r="BI35" i="9"/>
  <c r="CG35" i="9"/>
  <c r="CT35" i="9"/>
  <c r="AH16" i="9"/>
  <c r="BG38" i="9"/>
  <c r="Y16" i="9"/>
  <c r="BB38" i="9"/>
  <c r="AL34" i="9"/>
  <c r="CA37" i="9"/>
  <c r="AL43" i="9"/>
  <c r="Y9" i="9"/>
  <c r="CR31" i="9"/>
  <c r="CY29" i="9" s="1"/>
  <c r="AB11" i="9"/>
  <c r="BS33" i="9"/>
  <c r="CR33" i="9"/>
  <c r="AA34" i="9"/>
  <c r="AG13" i="9"/>
  <c r="BY35" i="9"/>
  <c r="BS34" i="9"/>
  <c r="CH34" i="9"/>
  <c r="CP34" i="9"/>
  <c r="CS34" i="9"/>
  <c r="AA35" i="9"/>
  <c r="Z10" i="9"/>
  <c r="BC32" i="9" s="1"/>
  <c r="BS35" i="9"/>
  <c r="CR35" i="9"/>
  <c r="AH14" i="9"/>
  <c r="BG36" i="9"/>
  <c r="BE34" i="9"/>
  <c r="BU42" i="9"/>
  <c r="BE42" i="9"/>
  <c r="CN42" i="9"/>
  <c r="CF42" i="9"/>
  <c r="BP42" i="9"/>
  <c r="AQ42" i="9"/>
  <c r="CA42" i="9"/>
  <c r="AJ22" i="9"/>
  <c r="BJ44" i="9"/>
  <c r="Z22" i="9"/>
  <c r="BC44" i="9"/>
  <c r="AS44" i="9"/>
  <c r="AG22" i="9"/>
  <c r="BY44" i="9"/>
  <c r="AH8" i="9"/>
  <c r="BG31" i="9"/>
  <c r="AY31" i="9"/>
  <c r="AI8" i="9"/>
  <c r="BH30" i="9"/>
  <c r="X31" i="9"/>
  <c r="Q8" i="9"/>
  <c r="R8" i="9"/>
  <c r="AE30" i="9"/>
  <c r="AA31" i="9"/>
  <c r="AJ8" i="9"/>
  <c r="BJ30" i="9"/>
  <c r="N8" i="9"/>
  <c r="AV30" i="9" s="1"/>
  <c r="AG8" i="9"/>
  <c r="BY30" i="9" s="1"/>
  <c r="Z8" i="9"/>
  <c r="BC30" i="9" s="1"/>
  <c r="Y8" i="9"/>
  <c r="BB30" i="9" s="1"/>
  <c r="AD8" i="9"/>
  <c r="BI33" i="9"/>
  <c r="Q12" i="9"/>
  <c r="CN35" i="9"/>
  <c r="BL35" i="9"/>
  <c r="AX35" i="9"/>
  <c r="CF35" i="9"/>
  <c r="BU35" i="9"/>
  <c r="AQ35" i="9"/>
  <c r="BP35" i="9"/>
  <c r="AL35" i="9"/>
  <c r="J10" i="9"/>
  <c r="AR32" i="9"/>
  <c r="S10" i="9"/>
  <c r="AN35" i="9"/>
  <c r="Y41" i="9"/>
  <c r="AG19" i="9"/>
  <c r="BY41" i="9"/>
  <c r="AS41" i="9"/>
  <c r="AA41" i="9"/>
  <c r="Z19" i="9"/>
  <c r="BC41" i="9"/>
  <c r="Y19" i="9"/>
  <c r="BB41" i="9" s="1"/>
  <c r="AZ41" i="9"/>
  <c r="AD19" i="9"/>
  <c r="BV41" i="9"/>
  <c r="AF31" i="9"/>
  <c r="AF30" i="9"/>
  <c r="AJ19" i="9"/>
  <c r="BJ41" i="9"/>
  <c r="W35" i="9"/>
  <c r="AH35" i="9"/>
  <c r="AA44" i="9"/>
  <c r="R10" i="9"/>
  <c r="AL42" i="9"/>
  <c r="Q10" i="9"/>
  <c r="AD32" i="9"/>
  <c r="AS31" i="9"/>
  <c r="CQ47" i="9"/>
  <c r="AA36" i="9"/>
  <c r="AS36" i="9"/>
  <c r="AG17" i="9"/>
  <c r="BY39" i="9" s="1"/>
  <c r="AJ17" i="9"/>
  <c r="BJ39" i="9"/>
  <c r="Q18" i="9"/>
  <c r="AD40" i="9"/>
  <c r="AH18" i="9"/>
  <c r="BG40" i="9"/>
  <c r="AI18" i="9"/>
  <c r="BH40" i="9"/>
  <c r="AD18" i="9"/>
  <c r="BV40" i="9"/>
  <c r="AE18" i="9"/>
  <c r="BW40" i="9" s="1"/>
  <c r="X40" i="9"/>
  <c r="S18" i="9"/>
  <c r="AF40" i="9" s="1"/>
  <c r="AA40" i="9"/>
  <c r="AI23" i="9"/>
  <c r="BH45" i="9"/>
  <c r="R23" i="9"/>
  <c r="AE45" i="9"/>
  <c r="X45" i="9"/>
  <c r="AH23" i="9"/>
  <c r="BG45" i="9" s="1"/>
  <c r="AG23" i="9"/>
  <c r="BY45" i="9"/>
  <c r="AS45" i="9"/>
  <c r="Z23" i="9"/>
  <c r="BC45" i="9"/>
  <c r="AZ45" i="9"/>
  <c r="Y23" i="9"/>
  <c r="BB45" i="9"/>
  <c r="CA35" i="9"/>
  <c r="AI31" i="9"/>
  <c r="BE35" i="9"/>
  <c r="AI19" i="9"/>
  <c r="BH41" i="9"/>
  <c r="BL42" i="9"/>
  <c r="AC42" i="9"/>
  <c r="AD17" i="9"/>
  <c r="AE17" i="9" s="1"/>
  <c r="BV39" i="9"/>
  <c r="CV29" i="9"/>
  <c r="CY31" i="9"/>
  <c r="DB29" i="9"/>
  <c r="J9" i="9"/>
  <c r="AJ9" i="9"/>
  <c r="BJ31" i="9"/>
  <c r="BF30" i="9"/>
  <c r="Z9" i="9"/>
  <c r="BC31" i="9"/>
  <c r="BI34" i="9"/>
  <c r="J13" i="9"/>
  <c r="L13" i="9" s="1"/>
  <c r="AT35" i="9" s="1"/>
  <c r="AN34" i="9"/>
  <c r="AB15" i="9"/>
  <c r="BN37" i="9"/>
  <c r="BM37" i="9"/>
  <c r="AA38" i="9"/>
  <c r="AG16" i="9"/>
  <c r="BY38" i="9"/>
  <c r="AS38" i="9"/>
  <c r="S16" i="9"/>
  <c r="T16" i="9" s="1"/>
  <c r="AJ38" i="9" s="1"/>
  <c r="AJ16" i="9"/>
  <c r="BJ38" i="9" s="1"/>
  <c r="AY43" i="9"/>
  <c r="AD21" i="9"/>
  <c r="BV43" i="9" s="1"/>
  <c r="Q21" i="9"/>
  <c r="AD43" i="9" s="1"/>
  <c r="R21" i="9"/>
  <c r="AE43" i="9"/>
  <c r="AI21" i="9"/>
  <c r="BH43" i="9"/>
  <c r="J23" i="9"/>
  <c r="L23" i="9" s="1"/>
  <c r="AT45" i="9" s="1"/>
  <c r="AR45" i="9"/>
  <c r="AM45" i="9"/>
  <c r="W29" i="9"/>
  <c r="AX29" i="9"/>
  <c r="AC29" i="9"/>
  <c r="CF30" i="9"/>
  <c r="AH30" i="9"/>
  <c r="BE30" i="9"/>
  <c r="CN30" i="9"/>
  <c r="W32" i="9"/>
  <c r="BE32" i="9"/>
  <c r="AB13" i="9"/>
  <c r="BN35" i="9"/>
  <c r="AI10" i="9"/>
  <c r="BH32" i="9"/>
  <c r="Y10" i="9"/>
  <c r="BB32" i="9" s="1"/>
  <c r="AS37" i="9"/>
  <c r="BL29" i="9"/>
  <c r="AQ29" i="9"/>
  <c r="AI7" i="9"/>
  <c r="BH29" i="9"/>
  <c r="R7" i="9"/>
  <c r="AE29" i="9"/>
  <c r="AD7" i="9"/>
  <c r="AE7" i="9" s="1"/>
  <c r="X29" i="9"/>
  <c r="Q7" i="9"/>
  <c r="AD29" i="9"/>
  <c r="AD11" i="9"/>
  <c r="BV33" i="9" s="1"/>
  <c r="AE33" i="9"/>
  <c r="BJ33" i="9"/>
  <c r="AG12" i="9"/>
  <c r="S12" i="9"/>
  <c r="AI34" i="9"/>
  <c r="Z14" i="9"/>
  <c r="BC36" i="9"/>
  <c r="AB14" i="9"/>
  <c r="BN36" i="9"/>
  <c r="Y37" i="9"/>
  <c r="R15" i="9"/>
  <c r="AE37" i="9"/>
  <c r="BM41" i="9"/>
  <c r="AG21" i="9"/>
  <c r="BY43" i="9" s="1"/>
  <c r="AS43" i="9"/>
  <c r="Z21" i="9"/>
  <c r="BC43" i="9"/>
  <c r="BM45" i="9"/>
  <c r="AB23" i="9"/>
  <c r="BN45" i="9"/>
  <c r="BL30" i="9"/>
  <c r="R19" i="9"/>
  <c r="AE41" i="9"/>
  <c r="AG9" i="9"/>
  <c r="BY31" i="9"/>
  <c r="AI15" i="9"/>
  <c r="BH37" i="9"/>
  <c r="Q16" i="9"/>
  <c r="AD38" i="9"/>
  <c r="AH22" i="9"/>
  <c r="BG44" i="9"/>
  <c r="Q22" i="9"/>
  <c r="AD44" i="9" s="1"/>
  <c r="AX37" i="9"/>
  <c r="AF15" i="9"/>
  <c r="BX37" i="9" s="1"/>
  <c r="AR29" i="9"/>
  <c r="AO29" i="9"/>
  <c r="BY33" i="9"/>
  <c r="BY34" i="9"/>
  <c r="BV30" i="9"/>
  <c r="AD30" i="9"/>
  <c r="AE8" i="9"/>
  <c r="BW30" i="9"/>
  <c r="BN33" i="9"/>
  <c r="BG30" i="9"/>
  <c r="AE32" i="9"/>
  <c r="BC33" i="9"/>
  <c r="AI32" i="9"/>
  <c r="AF32" i="9"/>
  <c r="L16" i="9"/>
  <c r="AT38" i="9"/>
  <c r="AR38" i="9"/>
  <c r="AP16" i="9"/>
  <c r="CB38" i="9"/>
  <c r="N16" i="9"/>
  <c r="AV38" i="9" s="1"/>
  <c r="AO32" i="9"/>
  <c r="CW31" i="9"/>
  <c r="AO31" i="9"/>
  <c r="AR31" i="9"/>
  <c r="AE19" i="9"/>
  <c r="BW41" i="9"/>
  <c r="AD34" i="9"/>
  <c r="BB31" i="9"/>
  <c r="BY32" i="9"/>
  <c r="AR39" i="9"/>
  <c r="AO39" i="9"/>
  <c r="N17" i="9"/>
  <c r="M17" i="9"/>
  <c r="AU39" i="9"/>
  <c r="AP17" i="9"/>
  <c r="CB39" i="9"/>
  <c r="L17" i="9"/>
  <c r="AT39" i="9"/>
  <c r="N10" i="9"/>
  <c r="AV32" i="9"/>
  <c r="M10" i="9"/>
  <c r="AU32" i="9" s="1"/>
  <c r="AP10" i="9"/>
  <c r="L10" i="9"/>
  <c r="AT32" i="9" s="1"/>
  <c r="AF8" i="9"/>
  <c r="AP9" i="9"/>
  <c r="CB31" i="9"/>
  <c r="M9" i="9"/>
  <c r="AU31" i="9" s="1"/>
  <c r="L9" i="9"/>
  <c r="AT31" i="9" s="1"/>
  <c r="N9" i="9"/>
  <c r="AR9" i="9" s="1"/>
  <c r="CD31" i="9" s="1"/>
  <c r="AF19" i="9"/>
  <c r="BX41" i="9" s="1"/>
  <c r="T12" i="9"/>
  <c r="AJ34" i="9"/>
  <c r="N23" i="9"/>
  <c r="AV45" i="9" s="1"/>
  <c r="AR23" i="9"/>
  <c r="CD45" i="9" s="1"/>
  <c r="AI35" i="9"/>
  <c r="T10" i="9"/>
  <c r="AJ32" i="9" s="1"/>
  <c r="AF35" i="9"/>
  <c r="CB32" i="9"/>
  <c r="AV39" i="9"/>
  <c r="AR17" i="9"/>
  <c r="CD39" i="9"/>
  <c r="BX30" i="9"/>
  <c r="AR10" i="9"/>
  <c r="CD32" i="9"/>
  <c r="F64" i="7"/>
  <c r="AO42" i="9"/>
  <c r="M20" i="9"/>
  <c r="AU42" i="9"/>
  <c r="BP33" i="9"/>
  <c r="BE33" i="9"/>
  <c r="AH33" i="9"/>
  <c r="CF33" i="9"/>
  <c r="AX33" i="9"/>
  <c r="AC33" i="9"/>
  <c r="BU33" i="9"/>
  <c r="AQ33" i="9"/>
  <c r="AI12" i="9"/>
  <c r="BH34" i="9"/>
  <c r="AM34" i="9"/>
  <c r="AJ12" i="9"/>
  <c r="BJ34" i="9"/>
  <c r="BM34" i="9"/>
  <c r="AB12" i="9"/>
  <c r="BN34" i="9"/>
  <c r="Y13" i="9"/>
  <c r="BB35" i="9"/>
  <c r="Q13" i="9"/>
  <c r="AD35" i="9"/>
  <c r="AI13" i="9"/>
  <c r="BH35" i="9"/>
  <c r="X35" i="9"/>
  <c r="R13" i="9"/>
  <c r="AE35" i="9"/>
  <c r="BF35" i="9"/>
  <c r="T13" i="9"/>
  <c r="AJ35" i="9"/>
  <c r="BV36" i="9"/>
  <c r="AE14" i="9"/>
  <c r="AN41" i="9"/>
  <c r="J19" i="9"/>
  <c r="M19" i="9" s="1"/>
  <c r="AU41" i="9" s="1"/>
  <c r="S19" i="9"/>
  <c r="AI41" i="9" s="1"/>
  <c r="Q19" i="9"/>
  <c r="AD41" i="9"/>
  <c r="BI41" i="9"/>
  <c r="AJ20" i="9"/>
  <c r="BJ42" i="9" s="1"/>
  <c r="S20" i="9"/>
  <c r="T20" i="9" s="1"/>
  <c r="AJ42" i="9" s="1"/>
  <c r="AG20" i="9"/>
  <c r="BY42" i="9" s="1"/>
  <c r="AA42" i="9"/>
  <c r="Z20" i="9"/>
  <c r="BC42" i="9"/>
  <c r="AV31" i="9"/>
  <c r="AF34" i="9"/>
  <c r="AJ13" i="9"/>
  <c r="BJ35" i="9" s="1"/>
  <c r="AZ42" i="9"/>
  <c r="AY34" i="9"/>
  <c r="AB10" i="9"/>
  <c r="BN32" i="9"/>
  <c r="BV38" i="9"/>
  <c r="AE16" i="9"/>
  <c r="BW38" i="9" s="1"/>
  <c r="CA33" i="9"/>
  <c r="AF29" i="9"/>
  <c r="AI29" i="9"/>
  <c r="T7" i="9"/>
  <c r="AJ29" i="9"/>
  <c r="CX31" i="9"/>
  <c r="CU47" i="9"/>
  <c r="DB31" i="9"/>
  <c r="DB30" i="9"/>
  <c r="AM31" i="9"/>
  <c r="AI9" i="9"/>
  <c r="BH31" i="9"/>
  <c r="T9" i="9"/>
  <c r="AJ31" i="9"/>
  <c r="AD9" i="9"/>
  <c r="BV31" i="9" s="1"/>
  <c r="AB9" i="9"/>
  <c r="BN31" i="9" s="1"/>
  <c r="J15" i="9"/>
  <c r="M15" i="9" s="1"/>
  <c r="AU37" i="9" s="1"/>
  <c r="AH15" i="9"/>
  <c r="BG37" i="9"/>
  <c r="BF37" i="9"/>
  <c r="T15" i="9"/>
  <c r="AJ37" i="9"/>
  <c r="AJ15" i="9"/>
  <c r="BJ37" i="9"/>
  <c r="Y39" i="9"/>
  <c r="R17" i="9"/>
  <c r="AE39" i="9"/>
  <c r="AI17" i="9"/>
  <c r="BH39" i="9"/>
  <c r="BM39" i="9"/>
  <c r="AB17" i="9"/>
  <c r="BN39" i="9"/>
  <c r="AZ40" i="9"/>
  <c r="AB18" i="9"/>
  <c r="BN40" i="9" s="1"/>
  <c r="Z18" i="9"/>
  <c r="BC40" i="9"/>
  <c r="AG18" i="9"/>
  <c r="BY40" i="9"/>
  <c r="AM43" i="9"/>
  <c r="J21" i="9"/>
  <c r="AP21" i="9" s="1"/>
  <c r="CB43" i="9" s="1"/>
  <c r="T21" i="9"/>
  <c r="AJ43" i="9"/>
  <c r="R12" i="9"/>
  <c r="AE34" i="9" s="1"/>
  <c r="X34" i="9"/>
  <c r="CZ29" i="9"/>
  <c r="AD13" i="9"/>
  <c r="AE13" i="9" s="1"/>
  <c r="BV35" i="9"/>
  <c r="Y20" i="9"/>
  <c r="BB42" i="9" s="1"/>
  <c r="AY35" i="9"/>
  <c r="J11" i="9"/>
  <c r="AP11" i="9" s="1"/>
  <c r="CB33" i="9" s="1"/>
  <c r="AN33" i="9"/>
  <c r="AZ34" i="9"/>
  <c r="Z12" i="9"/>
  <c r="BC34" i="9"/>
  <c r="Y12" i="9"/>
  <c r="BB34" i="9"/>
  <c r="W36" i="9"/>
  <c r="AH36" i="9"/>
  <c r="AX36" i="9"/>
  <c r="BU36" i="9"/>
  <c r="CN36" i="9"/>
  <c r="BL36" i="9"/>
  <c r="BE36" i="9"/>
  <c r="Y42" i="9"/>
  <c r="AI20" i="9"/>
  <c r="BH42" i="9"/>
  <c r="R20" i="9"/>
  <c r="AE42" i="9"/>
  <c r="AN44" i="9"/>
  <c r="BI44" i="9"/>
  <c r="J22" i="9"/>
  <c r="AP22" i="9" s="1"/>
  <c r="CB44" i="9" s="1"/>
  <c r="S22" i="9"/>
  <c r="AF33" i="9"/>
  <c r="AE21" i="9"/>
  <c r="AF21" i="9" s="1"/>
  <c r="BX43" i="9" s="1"/>
  <c r="AB20" i="9"/>
  <c r="BN42" i="9"/>
  <c r="AH13" i="9"/>
  <c r="BG35" i="9" s="1"/>
  <c r="J12" i="9"/>
  <c r="AH12" i="9"/>
  <c r="BG34" i="9"/>
  <c r="T8" i="9"/>
  <c r="AJ30" i="9"/>
  <c r="AI30" i="9"/>
  <c r="AO38" i="9"/>
  <c r="M16" i="9"/>
  <c r="AU38" i="9" s="1"/>
  <c r="BL33" i="9"/>
  <c r="AM35" i="9"/>
  <c r="BF34" i="9"/>
  <c r="AD20" i="9"/>
  <c r="AE20" i="9" s="1"/>
  <c r="BV42" i="9"/>
  <c r="AL33" i="9"/>
  <c r="CO47" i="9"/>
  <c r="CV30" i="9"/>
  <c r="CZ31" i="9"/>
  <c r="CZ30" i="9"/>
  <c r="DA30" i="9"/>
  <c r="CT47" i="9"/>
  <c r="BI36" i="9"/>
  <c r="AN36" i="9"/>
  <c r="Q14" i="9"/>
  <c r="AD36" i="9" s="1"/>
  <c r="J14" i="9"/>
  <c r="M14" i="9" s="1"/>
  <c r="AU36" i="9" s="1"/>
  <c r="S14" i="9"/>
  <c r="AF36" i="9" s="1"/>
  <c r="BL37" i="9"/>
  <c r="AH37" i="9"/>
  <c r="W37" i="9"/>
  <c r="BE37" i="9"/>
  <c r="BU37" i="9"/>
  <c r="CF37" i="9"/>
  <c r="AS39" i="9"/>
  <c r="AA39" i="9"/>
  <c r="S17" i="9"/>
  <c r="T17" i="9" s="1"/>
  <c r="AJ39" i="9" s="1"/>
  <c r="AZ39" i="9"/>
  <c r="Z17" i="9"/>
  <c r="BC39" i="9"/>
  <c r="BE31" i="9"/>
  <c r="AL29" i="9"/>
  <c r="BP29" i="9"/>
  <c r="CA29" i="9"/>
  <c r="AN37" i="9"/>
  <c r="R14" i="9"/>
  <c r="AE36" i="9"/>
  <c r="AX40" i="9"/>
  <c r="BU40" i="9"/>
  <c r="AL40" i="9"/>
  <c r="AC40" i="9"/>
  <c r="BE40" i="9"/>
  <c r="AH40" i="9"/>
  <c r="N22" i="9"/>
  <c r="M22" i="9"/>
  <c r="AU44" i="9"/>
  <c r="AO44" i="9"/>
  <c r="L22" i="9"/>
  <c r="AT44" i="9"/>
  <c r="AR44" i="9"/>
  <c r="AO37" i="9"/>
  <c r="L15" i="9"/>
  <c r="AT37" i="9" s="1"/>
  <c r="N15" i="9"/>
  <c r="AR37" i="9"/>
  <c r="AP15" i="9"/>
  <c r="CB37" i="9"/>
  <c r="L19" i="9"/>
  <c r="AT41" i="9"/>
  <c r="AO41" i="9"/>
  <c r="AR41" i="9"/>
  <c r="AR36" i="9"/>
  <c r="AP14" i="9"/>
  <c r="CB36" i="9"/>
  <c r="L14" i="9"/>
  <c r="AT36" i="9"/>
  <c r="N14" i="9"/>
  <c r="AV36" i="9" s="1"/>
  <c r="N21" i="9"/>
  <c r="AV43" i="9" s="1"/>
  <c r="L21" i="9"/>
  <c r="AT43" i="9"/>
  <c r="AR43" i="9"/>
  <c r="M21" i="9"/>
  <c r="AU43" i="9"/>
  <c r="AE9" i="9"/>
  <c r="AF9" i="9" s="1"/>
  <c r="BX31" i="9" s="1"/>
  <c r="M11" i="9"/>
  <c r="AU33" i="9"/>
  <c r="AR33" i="9"/>
  <c r="AF16" i="9"/>
  <c r="BX38" i="9"/>
  <c r="BW36" i="9"/>
  <c r="AF14" i="9"/>
  <c r="BX36" i="9" s="1"/>
  <c r="AF39" i="9"/>
  <c r="AO34" i="9"/>
  <c r="AP12" i="9"/>
  <c r="CB34" i="9"/>
  <c r="L12" i="9"/>
  <c r="AT34" i="9"/>
  <c r="AR34" i="9"/>
  <c r="M12" i="9"/>
  <c r="AU34" i="9"/>
  <c r="N12" i="9"/>
  <c r="AI44" i="9"/>
  <c r="T22" i="9"/>
  <c r="AJ44" i="9"/>
  <c r="AF44" i="9"/>
  <c r="AF42" i="9"/>
  <c r="AI42" i="9"/>
  <c r="AF41" i="9"/>
  <c r="AR21" i="9"/>
  <c r="CD43" i="9"/>
  <c r="AR14" i="9"/>
  <c r="CD36" i="9" s="1"/>
  <c r="AV37" i="9"/>
  <c r="AR15" i="9"/>
  <c r="CD37" i="9" s="1"/>
  <c r="BW31" i="9"/>
  <c r="AV44" i="9"/>
  <c r="AR22" i="9"/>
  <c r="CD44" i="9"/>
  <c r="H98" i="3"/>
  <c r="H105" i="3"/>
  <c r="D14" i="6"/>
  <c r="D22" i="6" s="1"/>
  <c r="D93" i="7"/>
  <c r="E266" i="3"/>
  <c r="F15" i="6"/>
  <c r="F24" i="6" s="1"/>
  <c r="I39" i="2"/>
  <c r="A47" i="7" s="1"/>
  <c r="A60" i="7" s="1"/>
  <c r="A73" i="7" s="1"/>
  <c r="E169" i="3"/>
  <c r="H40" i="2"/>
  <c r="E178" i="3"/>
  <c r="E180" i="3" s="1"/>
  <c r="C15" i="6"/>
  <c r="C24" i="6" s="1"/>
  <c r="D23" i="6"/>
  <c r="G59" i="1"/>
  <c r="F58" i="1"/>
  <c r="G58" i="1" s="1"/>
  <c r="E42" i="3"/>
  <c r="E43" i="3" s="1"/>
  <c r="F60" i="1"/>
  <c r="G60" i="1" s="1"/>
  <c r="F57" i="1"/>
  <c r="E50" i="3" s="1"/>
  <c r="E51" i="3" s="1"/>
  <c r="G55" i="1"/>
  <c r="C14" i="6"/>
  <c r="C23" i="6" s="1"/>
  <c r="D92" i="7"/>
  <c r="D91" i="7"/>
  <c r="E14" i="6"/>
  <c r="E23" i="6" s="1"/>
  <c r="E36" i="6" s="1"/>
  <c r="E22" i="6"/>
  <c r="F22" i="6"/>
  <c r="F29" i="6" s="1"/>
  <c r="F23" i="6"/>
  <c r="BW42" i="9" l="1"/>
  <c r="AF20" i="9"/>
  <c r="BX42" i="9" s="1"/>
  <c r="AF17" i="9"/>
  <c r="BX39" i="9" s="1"/>
  <c r="BW39" i="9"/>
  <c r="F40" i="2"/>
  <c r="A44" i="7"/>
  <c r="A57" i="7" s="1"/>
  <c r="A70" i="7" s="1"/>
  <c r="B398" i="3"/>
  <c r="E211" i="3"/>
  <c r="G112" i="1"/>
  <c r="BW32" i="9"/>
  <c r="AF10" i="9"/>
  <c r="BX32" i="9" s="1"/>
  <c r="BW29" i="9"/>
  <c r="AF7" i="9"/>
  <c r="BX29" i="9" s="1"/>
  <c r="BW45" i="9"/>
  <c r="AF23" i="9"/>
  <c r="BX45" i="9" s="1"/>
  <c r="AF13" i="9"/>
  <c r="BX35" i="9" s="1"/>
  <c r="BW35" i="9"/>
  <c r="AP13" i="9"/>
  <c r="CB35" i="9" s="1"/>
  <c r="E194" i="3"/>
  <c r="E77" i="3"/>
  <c r="C22" i="6"/>
  <c r="C29" i="6" s="1"/>
  <c r="B65" i="7"/>
  <c r="AR35" i="9"/>
  <c r="E24" i="6"/>
  <c r="E29" i="6" s="1"/>
  <c r="AI36" i="9"/>
  <c r="AO45" i="9"/>
  <c r="AP23" i="9"/>
  <c r="CB45" i="9" s="1"/>
  <c r="AE12" i="9"/>
  <c r="BV29" i="9"/>
  <c r="AO30" i="9"/>
  <c r="AI40" i="9"/>
  <c r="L7" i="9"/>
  <c r="AT29" i="9" s="1"/>
  <c r="G166" i="1"/>
  <c r="E183" i="3"/>
  <c r="G182" i="1"/>
  <c r="H303" i="3"/>
  <c r="M23" i="9"/>
  <c r="AU45" i="9" s="1"/>
  <c r="F25" i="6"/>
  <c r="F36" i="6" s="1"/>
  <c r="T19" i="9"/>
  <c r="AJ41" i="9" s="1"/>
  <c r="BW43" i="9"/>
  <c r="CY30" i="9"/>
  <c r="M13" i="9"/>
  <c r="AU35" i="9" s="1"/>
  <c r="H308" i="3"/>
  <c r="E220" i="3"/>
  <c r="AF18" i="9"/>
  <c r="BX40" i="9" s="1"/>
  <c r="AI39" i="9"/>
  <c r="AR30" i="9"/>
  <c r="M8" i="9"/>
  <c r="AU30" i="9" s="1"/>
  <c r="E175" i="3"/>
  <c r="E177" i="3" s="1"/>
  <c r="E188" i="3" s="1"/>
  <c r="D11" i="2" s="1"/>
  <c r="AR8" i="9"/>
  <c r="CD30" i="9" s="1"/>
  <c r="G56" i="1"/>
  <c r="E248" i="3"/>
  <c r="E251" i="3" s="1"/>
  <c r="E262" i="3"/>
  <c r="E265" i="3" s="1"/>
  <c r="E267" i="3" s="1"/>
  <c r="AV34" i="9"/>
  <c r="T14" i="9"/>
  <c r="AJ36" i="9" s="1"/>
  <c r="AO43" i="9"/>
  <c r="CR47" i="9"/>
  <c r="CX30" i="9"/>
  <c r="AR42" i="9"/>
  <c r="T18" i="9"/>
  <c r="AJ40" i="9" s="1"/>
  <c r="M7" i="9"/>
  <c r="AU29" i="9" s="1"/>
  <c r="N18" i="9"/>
  <c r="H106" i="3"/>
  <c r="E341" i="3"/>
  <c r="L11" i="9"/>
  <c r="AT33" i="9" s="1"/>
  <c r="AP19" i="9"/>
  <c r="CB41" i="9" s="1"/>
  <c r="CP47" i="9"/>
  <c r="AI38" i="9"/>
  <c r="AE11" i="9"/>
  <c r="AP18" i="9"/>
  <c r="CB40" i="9" s="1"/>
  <c r="N7" i="9"/>
  <c r="O23" i="9" s="1"/>
  <c r="F142" i="1"/>
  <c r="G142" i="1" s="1"/>
  <c r="E282" i="3" s="1"/>
  <c r="E286" i="3" s="1"/>
  <c r="E288" i="3" s="1"/>
  <c r="D18" i="2" s="1"/>
  <c r="E124" i="3"/>
  <c r="B10" i="3"/>
  <c r="AR12" i="9"/>
  <c r="CD34" i="9" s="1"/>
  <c r="B7" i="1"/>
  <c r="AO33" i="9"/>
  <c r="I40" i="2"/>
  <c r="D15" i="6"/>
  <c r="G39" i="2"/>
  <c r="E184" i="3"/>
  <c r="E186" i="3" s="1"/>
  <c r="N11" i="9"/>
  <c r="AO36" i="9"/>
  <c r="N19" i="9"/>
  <c r="AP20" i="9"/>
  <c r="CB42" i="9" s="1"/>
  <c r="N20" i="9"/>
  <c r="AR16" i="9"/>
  <c r="CD38" i="9" s="1"/>
  <c r="N13" i="9"/>
  <c r="BV32" i="9"/>
  <c r="AO40" i="9"/>
  <c r="M18" i="9"/>
  <c r="AU40" i="9" s="1"/>
  <c r="E154" i="3"/>
  <c r="E329" i="3"/>
  <c r="E330" i="3" s="1"/>
  <c r="E348" i="3"/>
  <c r="C25" i="6"/>
  <c r="C36" i="6" s="1"/>
  <c r="E244" i="3"/>
  <c r="E246" i="3" s="1"/>
  <c r="B303" i="3"/>
  <c r="AF38" i="9"/>
  <c r="L8" i="9"/>
  <c r="AT30" i="9" s="1"/>
  <c r="AR40" i="9"/>
  <c r="E252" i="3"/>
  <c r="AO35" i="9"/>
  <c r="E202" i="3"/>
  <c r="F113" i="1"/>
  <c r="E382" i="3"/>
  <c r="E352" i="3"/>
  <c r="E353" i="3" s="1"/>
  <c r="H316" i="3"/>
  <c r="H318" i="3" s="1"/>
  <c r="G209" i="1"/>
  <c r="G210" i="1" s="1"/>
  <c r="E85" i="3"/>
  <c r="E54" i="3"/>
  <c r="E55" i="3" s="1"/>
  <c r="G57" i="1"/>
  <c r="E62" i="3"/>
  <c r="E63" i="3" s="1"/>
  <c r="E224" i="3"/>
  <c r="D14" i="2" s="1"/>
  <c r="G14" i="2" s="1"/>
  <c r="E371" i="3"/>
  <c r="E89" i="3"/>
  <c r="E258" i="3"/>
  <c r="E260" i="3" s="1"/>
  <c r="H103" i="3"/>
  <c r="H11" i="2"/>
  <c r="E342" i="3"/>
  <c r="E81" i="3"/>
  <c r="E30" i="3"/>
  <c r="E32" i="3" s="1"/>
  <c r="D5" i="2" s="1"/>
  <c r="G5" i="2" s="1"/>
  <c r="E145" i="3"/>
  <c r="E147" i="3" s="1"/>
  <c r="E149" i="3" s="1"/>
  <c r="E151" i="3" s="1"/>
  <c r="E160" i="3"/>
  <c r="E162" i="3" s="1"/>
  <c r="E164" i="3" s="1"/>
  <c r="E166" i="3" s="1"/>
  <c r="E198" i="3"/>
  <c r="H101" i="3"/>
  <c r="E206" i="3"/>
  <c r="E130" i="3"/>
  <c r="E132" i="3" s="1"/>
  <c r="E134" i="3" s="1"/>
  <c r="E136" i="3" s="1"/>
  <c r="H102" i="3"/>
  <c r="I17" i="2"/>
  <c r="F17" i="2"/>
  <c r="H17" i="2"/>
  <c r="G17" i="2"/>
  <c r="H8" i="2"/>
  <c r="F8" i="2"/>
  <c r="I8" i="2"/>
  <c r="G8" i="2"/>
  <c r="I30" i="2"/>
  <c r="F30" i="2"/>
  <c r="D72" i="7"/>
  <c r="D73" i="7"/>
  <c r="D70" i="7"/>
  <c r="D71" i="7"/>
  <c r="G30" i="2"/>
  <c r="H30" i="2"/>
  <c r="G15" i="2"/>
  <c r="F15" i="2"/>
  <c r="I15" i="2"/>
  <c r="H15" i="2"/>
  <c r="F6" i="2"/>
  <c r="H107" i="3"/>
  <c r="G6" i="2"/>
  <c r="H6" i="2"/>
  <c r="G18" i="2" l="1"/>
  <c r="H18" i="2"/>
  <c r="I18" i="2"/>
  <c r="F18" i="2"/>
  <c r="G222" i="1"/>
  <c r="D24" i="2"/>
  <c r="O18" i="9"/>
  <c r="AR18" i="9"/>
  <c r="CD40" i="9" s="1"/>
  <c r="AV40" i="9"/>
  <c r="O12" i="9"/>
  <c r="AF11" i="9"/>
  <c r="BX33" i="9" s="1"/>
  <c r="BW33" i="9"/>
  <c r="F14" i="2"/>
  <c r="F111" i="1"/>
  <c r="G40" i="2"/>
  <c r="A45" i="7"/>
  <c r="A58" i="7" s="1"/>
  <c r="A71" i="7" s="1"/>
  <c r="AV41" i="9"/>
  <c r="AR19" i="9"/>
  <c r="CD41" i="9" s="1"/>
  <c r="O19" i="9"/>
  <c r="O8" i="9"/>
  <c r="H14" i="2"/>
  <c r="G127" i="1"/>
  <c r="E236" i="3" s="1"/>
  <c r="E237" i="3" s="1"/>
  <c r="E239" i="3" s="1"/>
  <c r="I16" i="2" s="1"/>
  <c r="D24" i="6"/>
  <c r="D29" i="6" s="1"/>
  <c r="D25" i="6"/>
  <c r="D36" i="6" s="1"/>
  <c r="E356" i="3"/>
  <c r="I14" i="2"/>
  <c r="E207" i="3"/>
  <c r="D12" i="2" s="1"/>
  <c r="E345" i="3"/>
  <c r="AF12" i="9"/>
  <c r="BX34" i="9" s="1"/>
  <c r="BW34" i="9"/>
  <c r="O21" i="9"/>
  <c r="O15" i="9"/>
  <c r="O9" i="9"/>
  <c r="AR7" i="9"/>
  <c r="CD29" i="9" s="1"/>
  <c r="O17" i="9"/>
  <c r="AV29" i="9"/>
  <c r="O7" i="9"/>
  <c r="AV33" i="9"/>
  <c r="O11" i="9"/>
  <c r="AR11" i="9"/>
  <c r="CD33" i="9" s="1"/>
  <c r="H320" i="3"/>
  <c r="AV35" i="9"/>
  <c r="O13" i="9"/>
  <c r="AR13" i="9"/>
  <c r="CD35" i="9" s="1"/>
  <c r="O14" i="9"/>
  <c r="O16" i="9"/>
  <c r="E374" i="3"/>
  <c r="E383" i="3"/>
  <c r="E387" i="3" s="1"/>
  <c r="G212" i="1"/>
  <c r="G62" i="1"/>
  <c r="O22" i="9"/>
  <c r="AR20" i="9"/>
  <c r="CD42" i="9" s="1"/>
  <c r="AV42" i="9"/>
  <c r="O20" i="9"/>
  <c r="E253" i="3"/>
  <c r="O10" i="9"/>
  <c r="G322" i="3"/>
  <c r="E212" i="3"/>
  <c r="G113" i="1"/>
  <c r="E346" i="3"/>
  <c r="E349" i="3" s="1"/>
  <c r="E358" i="3" s="1"/>
  <c r="D25" i="2" s="1"/>
  <c r="F25" i="2" s="1"/>
  <c r="E375" i="3"/>
  <c r="E379" i="3" s="1"/>
  <c r="E210" i="3"/>
  <c r="G111" i="1"/>
  <c r="E91" i="3"/>
  <c r="D9" i="2" s="1"/>
  <c r="F9" i="2" s="1"/>
  <c r="E67" i="3"/>
  <c r="D7" i="2" s="1"/>
  <c r="G7" i="2" s="1"/>
  <c r="G16" i="2"/>
  <c r="H12" i="2"/>
  <c r="H5" i="2"/>
  <c r="G12" i="2"/>
  <c r="F5" i="2"/>
  <c r="I5" i="2"/>
  <c r="H109" i="3"/>
  <c r="E137" i="3" s="1"/>
  <c r="E138" i="3" s="1"/>
  <c r="E140" i="3" s="1"/>
  <c r="G10" i="2" s="1"/>
  <c r="F24" i="2"/>
  <c r="H24" i="2"/>
  <c r="I24" i="2"/>
  <c r="G24" i="2"/>
  <c r="H9" i="2"/>
  <c r="G9" i="2"/>
  <c r="H7" i="2"/>
  <c r="I7" i="2"/>
  <c r="F7" i="2"/>
  <c r="I9" i="2" l="1"/>
  <c r="F16" i="2"/>
  <c r="E269" i="3"/>
  <c r="D16" i="2" s="1"/>
  <c r="H16" i="2"/>
  <c r="F12" i="2"/>
  <c r="I12" i="2"/>
  <c r="E213" i="3"/>
  <c r="E215" i="3" s="1"/>
  <c r="D13" i="2" s="1"/>
  <c r="G13" i="2" s="1"/>
  <c r="G19" i="2" s="1"/>
  <c r="E389" i="3"/>
  <c r="D26" i="2" s="1"/>
  <c r="G26" i="2" s="1"/>
  <c r="H25" i="2"/>
  <c r="H26" i="2"/>
  <c r="I26" i="2"/>
  <c r="F26" i="2"/>
  <c r="F27" i="2" s="1"/>
  <c r="I13" i="2"/>
  <c r="F13" i="2"/>
  <c r="E122" i="3"/>
  <c r="E123" i="3" s="1"/>
  <c r="E125" i="3" s="1"/>
  <c r="F10" i="2" s="1"/>
  <c r="E152" i="3"/>
  <c r="E153" i="3" s="1"/>
  <c r="E155" i="3" s="1"/>
  <c r="H10" i="2" s="1"/>
  <c r="E167" i="3"/>
  <c r="E168" i="3" s="1"/>
  <c r="E170" i="3" s="1"/>
  <c r="I10" i="2" s="1"/>
  <c r="I25" i="2"/>
  <c r="G25" i="2"/>
  <c r="H27" i="2"/>
  <c r="I27" i="2" l="1"/>
  <c r="D27" i="2"/>
  <c r="H13" i="2"/>
  <c r="H19" i="2" s="1"/>
  <c r="E172" i="3"/>
  <c r="D10" i="2" s="1"/>
  <c r="D19" i="2" s="1"/>
  <c r="E293" i="3" s="1"/>
  <c r="E295" i="3" s="1"/>
  <c r="E297" i="3" s="1"/>
  <c r="D20" i="2" s="1"/>
  <c r="D21" i="2" s="1"/>
  <c r="C72" i="7"/>
  <c r="C73" i="7"/>
  <c r="G27" i="2"/>
  <c r="F19" i="2"/>
  <c r="I19" i="2"/>
  <c r="C70" i="7" l="1"/>
  <c r="C8" i="6"/>
  <c r="C71" i="7"/>
  <c r="H48" i="2"/>
  <c r="B93" i="7" s="1"/>
  <c r="B60" i="7"/>
  <c r="B57" i="7"/>
  <c r="B72" i="7"/>
  <c r="B78" i="7"/>
  <c r="B7" i="7"/>
  <c r="D7" i="7" s="1"/>
  <c r="B58" i="7"/>
  <c r="C78" i="7"/>
  <c r="D78" i="7" s="1"/>
  <c r="D32" i="2"/>
  <c r="F45" i="2"/>
  <c r="B404" i="3" s="1"/>
  <c r="F48" i="2"/>
  <c r="B91" i="7" s="1"/>
  <c r="H43" i="2"/>
  <c r="I48" i="2"/>
  <c r="B94" i="7" s="1"/>
  <c r="H45" i="2"/>
  <c r="B70" i="7"/>
  <c r="G48" i="2"/>
  <c r="B92" i="7" s="1"/>
  <c r="C7" i="6"/>
  <c r="B71" i="7"/>
  <c r="B73" i="7"/>
  <c r="G43" i="2"/>
  <c r="F43" i="2"/>
  <c r="D52" i="2"/>
  <c r="I43" i="2"/>
  <c r="I45" i="2"/>
  <c r="B59" i="7"/>
  <c r="G45" i="2"/>
  <c r="F20" i="2"/>
  <c r="F21" i="2" s="1"/>
  <c r="F32" i="2" s="1"/>
  <c r="G20" i="2"/>
  <c r="G21" i="2" s="1"/>
  <c r="G32" i="2" s="1"/>
  <c r="I20" i="2"/>
  <c r="I21" i="2" s="1"/>
  <c r="I32" i="2" s="1"/>
  <c r="H20" i="2"/>
  <c r="H21" i="2" s="1"/>
  <c r="H32" i="2" s="1"/>
  <c r="B86" i="7" l="1"/>
  <c r="B84" i="7"/>
  <c r="B85" i="7"/>
  <c r="B83" i="7"/>
  <c r="F33" i="6"/>
  <c r="F38" i="6"/>
  <c r="F31" i="6"/>
  <c r="E33" i="6"/>
  <c r="E40" i="6"/>
  <c r="D40" i="6"/>
  <c r="D38" i="6"/>
  <c r="C40" i="6"/>
  <c r="D33" i="6"/>
  <c r="C31" i="6"/>
  <c r="C33" i="6"/>
  <c r="D31" i="6"/>
  <c r="C38" i="6"/>
  <c r="E31" i="6"/>
  <c r="E38" i="6"/>
  <c r="F40" i="6"/>
  <c r="B61" i="7"/>
  <c r="F55" i="2"/>
  <c r="G55" i="2"/>
  <c r="G44" i="2"/>
  <c r="I44" i="2"/>
  <c r="I49" i="2"/>
  <c r="G49" i="2"/>
  <c r="F44" i="2"/>
  <c r="E7" i="7"/>
  <c r="F49" i="2"/>
  <c r="D53" i="2"/>
  <c r="B409" i="3" s="1"/>
  <c r="C9" i="6"/>
  <c r="I55" i="2"/>
  <c r="B406" i="3"/>
  <c r="H44" i="2"/>
  <c r="H55" i="2"/>
  <c r="H49" i="2"/>
  <c r="G56" i="2" l="1"/>
  <c r="E71" i="7"/>
  <c r="G28" i="7"/>
  <c r="E30" i="7"/>
  <c r="E28" i="7"/>
  <c r="E27" i="7"/>
  <c r="E29" i="7"/>
  <c r="E72" i="7"/>
  <c r="H56" i="2"/>
  <c r="B415" i="3" s="1"/>
  <c r="G29" i="7"/>
  <c r="C85" i="7"/>
  <c r="L27" i="7"/>
  <c r="F59" i="2"/>
  <c r="L30" i="7"/>
  <c r="L29" i="7"/>
  <c r="C83" i="7"/>
  <c r="H59" i="2"/>
  <c r="C84" i="7"/>
  <c r="G59" i="2"/>
  <c r="C86" i="7"/>
  <c r="I59" i="2"/>
  <c r="L28" i="7"/>
  <c r="D44" i="7"/>
  <c r="C44" i="7"/>
  <c r="C91" i="7"/>
  <c r="G27" i="7"/>
  <c r="F56" i="2"/>
  <c r="E70" i="7"/>
  <c r="D39" i="6"/>
  <c r="C32" i="6"/>
  <c r="F32" i="6"/>
  <c r="E39" i="6"/>
  <c r="D32" i="6"/>
  <c r="F39" i="6"/>
  <c r="C39" i="6"/>
  <c r="E32" i="6"/>
  <c r="C92" i="7"/>
  <c r="D45" i="7"/>
  <c r="C45" i="7"/>
  <c r="B401" i="3"/>
  <c r="C94" i="7"/>
  <c r="D47" i="7"/>
  <c r="G47" i="7" s="1"/>
  <c r="C47" i="7"/>
  <c r="F47" i="7" s="1"/>
  <c r="C46" i="7"/>
  <c r="D46" i="7"/>
  <c r="C93" i="7"/>
  <c r="G30" i="7"/>
  <c r="E73" i="7"/>
  <c r="I56" i="2"/>
</calcChain>
</file>

<file path=xl/sharedStrings.xml><?xml version="1.0" encoding="utf-8"?>
<sst xmlns="http://schemas.openxmlformats.org/spreadsheetml/2006/main" count="1443" uniqueCount="578">
  <si>
    <t>Assumptions</t>
  </si>
  <si>
    <t/>
  </si>
  <si>
    <t>Yields</t>
  </si>
  <si>
    <t>Total land base</t>
  </si>
  <si>
    <t>Interest Rate</t>
  </si>
  <si>
    <t>1.01 Seed Cost &amp; Treatment Cost</t>
  </si>
  <si>
    <t>1.02 Fertilizer Cost</t>
  </si>
  <si>
    <t>Rate</t>
  </si>
  <si>
    <t>Lbs/acre</t>
  </si>
  <si>
    <t>Sulfur</t>
  </si>
  <si>
    <t>1.03 Herbicide Costs</t>
  </si>
  <si>
    <t>Preplant</t>
  </si>
  <si>
    <t>Post emergent</t>
  </si>
  <si>
    <t>1.04 Fungicide Costs &amp; Insecticides</t>
  </si>
  <si>
    <t>Times</t>
  </si>
  <si>
    <t>Applied</t>
  </si>
  <si>
    <t>Contact Fungicide</t>
  </si>
  <si>
    <t>Systemic Fungicide</t>
  </si>
  <si>
    <t>Insecticide</t>
  </si>
  <si>
    <t>Fuel Cost $/litre</t>
  </si>
  <si>
    <t>Field</t>
  </si>
  <si>
    <t>Operation</t>
  </si>
  <si>
    <t>Over</t>
  </si>
  <si>
    <t>Harrow</t>
  </si>
  <si>
    <t>Cultivate</t>
  </si>
  <si>
    <t>Plant</t>
  </si>
  <si>
    <t>Spray</t>
  </si>
  <si>
    <t>Hilling</t>
  </si>
  <si>
    <t>Fertilize</t>
  </si>
  <si>
    <t>Harvest</t>
  </si>
  <si>
    <t>Truck Fuel-Harvesting</t>
  </si>
  <si>
    <t>Truck Capacity (cwts)</t>
  </si>
  <si>
    <t>Fuel Consumption (miles/gal)</t>
  </si>
  <si>
    <t>Distance to storage (miles)</t>
  </si>
  <si>
    <t>Inches applied</t>
  </si>
  <si>
    <t>1.09 Custom Work &amp; Rental</t>
  </si>
  <si>
    <t>1.10 Hired labour costs</t>
  </si>
  <si>
    <t>Number</t>
  </si>
  <si>
    <t>Hours</t>
  </si>
  <si>
    <t>Total</t>
  </si>
  <si>
    <t>1.11 Insurance Costs</t>
  </si>
  <si>
    <t>1.12 Utilities</t>
  </si>
  <si>
    <t xml:space="preserve"> years</t>
  </si>
  <si>
    <t xml:space="preserve"> Land Value</t>
  </si>
  <si>
    <t>Total Storage Costs</t>
  </si>
  <si>
    <t>Irrigation System</t>
  </si>
  <si>
    <t>Total Irrigation Costs</t>
  </si>
  <si>
    <t>Machinery &amp; Equipment</t>
  </si>
  <si>
    <t>Seed</t>
  </si>
  <si>
    <t>Fertilizer</t>
  </si>
  <si>
    <t>Herbicides</t>
  </si>
  <si>
    <t>Trucking Costs</t>
  </si>
  <si>
    <t>Irrigation Fuel</t>
  </si>
  <si>
    <t>Custom Work &amp; Rental</t>
  </si>
  <si>
    <t>Hired Labour</t>
  </si>
  <si>
    <t>Insurance</t>
  </si>
  <si>
    <t>Utilities</t>
  </si>
  <si>
    <t xml:space="preserve">   B.</t>
  </si>
  <si>
    <t>Own Land Cost</t>
  </si>
  <si>
    <t>Depreciation</t>
  </si>
  <si>
    <t>Investment</t>
  </si>
  <si>
    <t xml:space="preserve">   C.</t>
  </si>
  <si>
    <t>Own Labour</t>
  </si>
  <si>
    <t>cwt/acre</t>
  </si>
  <si>
    <t>x</t>
  </si>
  <si>
    <t>$/cwt</t>
  </si>
  <si>
    <t>=</t>
  </si>
  <si>
    <t>Cutting</t>
  </si>
  <si>
    <t>lbs/acre</t>
  </si>
  <si>
    <t>$ / lb</t>
  </si>
  <si>
    <t>Potash</t>
  </si>
  <si>
    <t>$/acre</t>
  </si>
  <si>
    <t xml:space="preserve">a) Field Fuel Costs </t>
  </si>
  <si>
    <t>÷</t>
  </si>
  <si>
    <t>machinery</t>
  </si>
  <si>
    <t>+</t>
  </si>
  <si>
    <t>potato storage</t>
  </si>
  <si>
    <t>total</t>
  </si>
  <si>
    <t>crop insurance</t>
  </si>
  <si>
    <t>total insurance</t>
  </si>
  <si>
    <t>hydro</t>
  </si>
  <si>
    <t>telephone</t>
  </si>
  <si>
    <t>total utilities</t>
  </si>
  <si>
    <t>accounting &amp; legal</t>
  </si>
  <si>
    <t>property taxes</t>
  </si>
  <si>
    <t>shop supplies</t>
  </si>
  <si>
    <t>other costs</t>
  </si>
  <si>
    <t>(Operating interest is charged on one-half the sub-total</t>
  </si>
  <si>
    <t>operating costs)</t>
  </si>
  <si>
    <t xml:space="preserve">    2.01 Land Costs</t>
  </si>
  <si>
    <t xml:space="preserve">    2.02 Depreciation</t>
  </si>
  <si>
    <t>Storage Facilities</t>
  </si>
  <si>
    <t>-</t>
  </si>
  <si>
    <t xml:space="preserve">    2.03 Investment Cost</t>
  </si>
  <si>
    <t>C.  Own Labour Costs</t>
  </si>
  <si>
    <t>Tandem Disk</t>
  </si>
  <si>
    <t>hail insurance</t>
  </si>
  <si>
    <t>content insurance</t>
  </si>
  <si>
    <t xml:space="preserve">    Total  </t>
  </si>
  <si>
    <t>1.01</t>
  </si>
  <si>
    <t>1.02</t>
  </si>
  <si>
    <t>1.03</t>
  </si>
  <si>
    <t>1.04</t>
  </si>
  <si>
    <t>1.05</t>
  </si>
  <si>
    <t>1.06</t>
  </si>
  <si>
    <t>1.07</t>
  </si>
  <si>
    <t>1.08</t>
  </si>
  <si>
    <t>1.09</t>
  </si>
  <si>
    <t>1.10</t>
  </si>
  <si>
    <t>1.11</t>
  </si>
  <si>
    <t>1.12</t>
  </si>
  <si>
    <t>1.13</t>
  </si>
  <si>
    <t>1.14</t>
  </si>
  <si>
    <t>average</t>
  </si>
  <si>
    <t>average value</t>
  </si>
  <si>
    <t xml:space="preserve">  Original Value - Salvage Value </t>
  </si>
  <si>
    <t>investment rate</t>
  </si>
  <si>
    <t>original value</t>
  </si>
  <si>
    <t>salvage value</t>
  </si>
  <si>
    <t>total acres</t>
  </si>
  <si>
    <t xml:space="preserve">acres </t>
  </si>
  <si>
    <t>Investment rate</t>
  </si>
  <si>
    <t>membership</t>
  </si>
  <si>
    <t>operating costs</t>
  </si>
  <si>
    <t>operating interest</t>
  </si>
  <si>
    <t>A.</t>
  </si>
  <si>
    <t>2.02</t>
  </si>
  <si>
    <t>2.03</t>
  </si>
  <si>
    <t>3.01</t>
  </si>
  <si>
    <t>$/hour</t>
  </si>
  <si>
    <t>Irrigated Potato Cost of Production Worksheet</t>
  </si>
  <si>
    <t>number applications</t>
  </si>
  <si>
    <t>trips/acre</t>
  </si>
  <si>
    <t>net trucking rate/cwt</t>
  </si>
  <si>
    <t>inches water applied</t>
  </si>
  <si>
    <t>hours for .75 inches</t>
  </si>
  <si>
    <t>hours for 1.0 inches</t>
  </si>
  <si>
    <t>hourly pumping costs</t>
  </si>
  <si>
    <t>number of pivots</t>
  </si>
  <si>
    <t>useful life (yrs.)</t>
  </si>
  <si>
    <t xml:space="preserve">     Guidelines For Estimating</t>
  </si>
  <si>
    <t>Operating Costs</t>
  </si>
  <si>
    <t>Fuel Costs-Field</t>
  </si>
  <si>
    <t>Subtotal Operating Costs</t>
  </si>
  <si>
    <t>Interest on Operating</t>
  </si>
  <si>
    <t>Fixed Costs</t>
  </si>
  <si>
    <t>Total Fixed Costs</t>
  </si>
  <si>
    <t>Total Operating Costs</t>
  </si>
  <si>
    <t>Labour</t>
  </si>
  <si>
    <t>Total Cost of Production</t>
  </si>
  <si>
    <t>A. Operating Costs</t>
  </si>
  <si>
    <t>Capital Investment</t>
  </si>
  <si>
    <t>Total Capital Investment</t>
  </si>
  <si>
    <t>B.  Fixed Costs</t>
  </si>
  <si>
    <t>Irrigated Processing Potato - Input</t>
  </si>
  <si>
    <t>Operating</t>
  </si>
  <si>
    <t>Crop Insurance (80%)</t>
  </si>
  <si>
    <t>Buildings &amp; Equipment</t>
  </si>
  <si>
    <t>Hail Insurance</t>
  </si>
  <si>
    <t>Hydro</t>
  </si>
  <si>
    <t>Accounting &amp; Legal</t>
  </si>
  <si>
    <t>Publications &amp; Membership</t>
  </si>
  <si>
    <t>Shop Supplies</t>
  </si>
  <si>
    <t>Other Costs</t>
  </si>
  <si>
    <t>Land Value</t>
  </si>
  <si>
    <t>Buildings</t>
  </si>
  <si>
    <t>Storage Building</t>
  </si>
  <si>
    <t>Irrigation Equipment</t>
  </si>
  <si>
    <t>Useful Life:</t>
  </si>
  <si>
    <t>Salvage Value (% of original cost)</t>
  </si>
  <si>
    <t>Machinery</t>
  </si>
  <si>
    <t>Potato Storage</t>
  </si>
  <si>
    <r>
      <t xml:space="preserve">1.05 Fuel Costs </t>
    </r>
    <r>
      <rPr>
        <sz val="12"/>
        <rFont val="Arial"/>
        <family val="2"/>
      </rPr>
      <t>(field &amp; trucking)</t>
    </r>
  </si>
  <si>
    <r>
      <t xml:space="preserve">Depreciation </t>
    </r>
    <r>
      <rPr>
        <sz val="12"/>
        <rFont val="Arial"/>
        <family val="2"/>
      </rPr>
      <t>(straight line)</t>
    </r>
    <r>
      <rPr>
        <b/>
        <sz val="12"/>
        <rFont val="Arial"/>
        <family val="2"/>
      </rPr>
      <t>:</t>
    </r>
  </si>
  <si>
    <t>Your Cost</t>
  </si>
  <si>
    <t>truck capacity (tons)</t>
  </si>
  <si>
    <t>total miles/acre</t>
  </si>
  <si>
    <t>fuel consumption (miles/gal)</t>
  </si>
  <si>
    <t>gallons required fuel</t>
  </si>
  <si>
    <t xml:space="preserve">fuel cost ($/litre) </t>
  </si>
  <si>
    <t>field to storage fuel cost</t>
  </si>
  <si>
    <t>Miscellaneous</t>
  </si>
  <si>
    <t>Maintenance &amp; Repairs</t>
  </si>
  <si>
    <t>1.13 Other Costs</t>
  </si>
  <si>
    <t>Fungicide &amp; Insecticide</t>
  </si>
  <si>
    <t>River pump station</t>
  </si>
  <si>
    <t>Booster pump station</t>
  </si>
  <si>
    <t>Pivots &amp; generators</t>
  </si>
  <si>
    <t xml:space="preserve">  Capital Costs</t>
  </si>
  <si>
    <t>2.01</t>
  </si>
  <si>
    <t>Total Fuel Costs</t>
  </si>
  <si>
    <t>1.08 Maintenance &amp; repairs</t>
  </si>
  <si>
    <t>Property Taxes</t>
  </si>
  <si>
    <t>Seed &amp; cutting</t>
  </si>
  <si>
    <t>Seed treatment</t>
  </si>
  <si>
    <t>$/cwt fungicide</t>
  </si>
  <si>
    <t>$/cwt insecticide</t>
  </si>
  <si>
    <t>distance/trip (miles)</t>
  </si>
  <si>
    <t>Total Acres</t>
  </si>
  <si>
    <t>Hours per acre</t>
  </si>
  <si>
    <t>Rate per hour</t>
  </si>
  <si>
    <t>hours/acre</t>
  </si>
  <si>
    <t>$/acre harvested</t>
  </si>
  <si>
    <r>
      <t>Original Value + Salvage Value</t>
    </r>
    <r>
      <rPr>
        <b/>
        <sz val="12"/>
        <rFont val="Arial"/>
        <family val="2"/>
      </rPr>
      <t xml:space="preserve"> X </t>
    </r>
    <r>
      <rPr>
        <b/>
        <u/>
        <sz val="12"/>
        <rFont val="Arial"/>
        <family val="2"/>
      </rPr>
      <t>Investment Rate</t>
    </r>
  </si>
  <si>
    <t xml:space="preserve">$/acre </t>
  </si>
  <si>
    <t>gross yield (cwt)/ac.</t>
  </si>
  <si>
    <t>tons/ac.</t>
  </si>
  <si>
    <t>Rotera</t>
  </si>
  <si>
    <t>Workshop</t>
  </si>
  <si>
    <t>Micro</t>
  </si>
  <si>
    <t xml:space="preserve">irrigation </t>
  </si>
  <si>
    <t>Hours/pivot (.75" water)</t>
  </si>
  <si>
    <t>Machine Shed Workshop</t>
  </si>
  <si>
    <t>crop consulting</t>
  </si>
  <si>
    <t xml:space="preserve">. . . . . . . . . . . . . . . . . . . . . . . . . . . . . . . . . . . . . . . . . . . . . . . . . </t>
  </si>
  <si>
    <t>Cost / Acre</t>
  </si>
  <si>
    <t>Estimated Farmgate</t>
  </si>
  <si>
    <t>Gross Revenue / acre</t>
  </si>
  <si>
    <t xml:space="preserve">Marginal Returns </t>
  </si>
  <si>
    <t>Over Operating Costs</t>
  </si>
  <si>
    <t>Over Total Costs (Net Profit)</t>
  </si>
  <si>
    <t>Operating Expense Ratio</t>
  </si>
  <si>
    <t>Breakeven Price Per Unit</t>
  </si>
  <si>
    <t>Total Costs</t>
  </si>
  <si>
    <t>Profitability &amp; Breakeven Analysis</t>
  </si>
  <si>
    <r>
      <rPr>
        <b/>
        <sz val="12"/>
        <rFont val="Arial"/>
        <family val="2"/>
      </rPr>
      <t>Note:</t>
    </r>
    <r>
      <rPr>
        <sz val="12"/>
        <rFont val="Arial"/>
        <family val="2"/>
      </rPr>
      <t xml:space="preserve"> This budget is only a guide and is not intended as an in depth study of the cost of production of this industry. Interpretation and utilization of this information is the responsibility of the user.</t>
    </r>
  </si>
  <si>
    <t xml:space="preserve">All trucking operations related to marketing of processed potatoes were assumed to be custom hauled to the processors. A rate applicable to hauling potatoes approximately 100 miles was assumed. </t>
  </si>
  <si>
    <t>Bulk Price</t>
  </si>
  <si>
    <t>$/tonne</t>
  </si>
  <si>
    <t>Nitrogen: (urea) 46-0-0</t>
  </si>
  <si>
    <t>Phosphorus:   11-52-0</t>
  </si>
  <si>
    <t>Potash:   0-0-60</t>
  </si>
  <si>
    <t>Sulphur:   20.5-0-0-24</t>
  </si>
  <si>
    <t>Risk &amp; Sensitivity Analysis</t>
  </si>
  <si>
    <t>Your Farm</t>
  </si>
  <si>
    <t>Up</t>
  </si>
  <si>
    <t>Down</t>
  </si>
  <si>
    <t>Percent Price Variation</t>
  </si>
  <si>
    <t>Percent Yield Variation</t>
  </si>
  <si>
    <t xml:space="preserve">   Over Operating Costs</t>
  </si>
  <si>
    <t xml:space="preserve">   Over Total Costs (Net Profit)</t>
  </si>
  <si>
    <t>B. Fixed Costs</t>
  </si>
  <si>
    <t>Price $ per cwt</t>
  </si>
  <si>
    <t>Higher Yield (cwt per acre)</t>
  </si>
  <si>
    <t>Lower Yield (cwt per acre)</t>
  </si>
  <si>
    <t>Higher Price ($ per cwt)</t>
  </si>
  <si>
    <t>Lower Price ($ per cwt)</t>
  </si>
  <si>
    <t>Acres per circle</t>
  </si>
  <si>
    <t>Potato harvested acres (annual basis)</t>
  </si>
  <si>
    <t>Potato rotation (time in rotation - how many years)</t>
  </si>
  <si>
    <t xml:space="preserve">Dockage </t>
  </si>
  <si>
    <t>Shrink</t>
  </si>
  <si>
    <t>Low</t>
  </si>
  <si>
    <t>Medium</t>
  </si>
  <si>
    <t>High</t>
  </si>
  <si>
    <t>Med-High</t>
  </si>
  <si>
    <t>Number of irrigation pivot circles</t>
  </si>
  <si>
    <t>Nitrogen: (UAN) 28-0-0</t>
  </si>
  <si>
    <t>Phosphorus:   10-34-0</t>
  </si>
  <si>
    <t>Actual</t>
  </si>
  <si>
    <t>Nutrient $/lb</t>
  </si>
  <si>
    <t>Total Cost</t>
  </si>
  <si>
    <t>Per Acre</t>
  </si>
  <si>
    <t>Other (Micro, etc.)</t>
  </si>
  <si>
    <t>Crop Pesticide Costs</t>
  </si>
  <si>
    <t>Cost Per</t>
  </si>
  <si>
    <t>Application</t>
  </si>
  <si>
    <t>Estimated Yields</t>
  </si>
  <si>
    <t>Fuel Use</t>
  </si>
  <si>
    <t>Imp.Gal/Ac</t>
  </si>
  <si>
    <t>Litres/Ac</t>
  </si>
  <si>
    <t>Ripper</t>
  </si>
  <si>
    <t>1.07 Irrigation Costs</t>
  </si>
  <si>
    <t>Hourly pumping costs - Hydro</t>
  </si>
  <si>
    <t>Hourly pumping costs - Diesel</t>
  </si>
  <si>
    <t>Percent of pumping - Hydro</t>
  </si>
  <si>
    <t>Percent of pumping - Diesel</t>
  </si>
  <si>
    <t>Base Rate ($/cwt)</t>
  </si>
  <si>
    <t>Bonus Rate ($/cwt)</t>
  </si>
  <si>
    <t>Penalty Rate ($/cwt)</t>
  </si>
  <si>
    <t xml:space="preserve">1.01  Seed &amp; Cutting Cost </t>
  </si>
  <si>
    <t>cost per application</t>
  </si>
  <si>
    <t>Fuel Costs - Field</t>
  </si>
  <si>
    <t>field fuel cost</t>
  </si>
  <si>
    <t>Acres - Percentage</t>
  </si>
  <si>
    <t>marketable yield (cwt)/ac.</t>
  </si>
  <si>
    <t>per cwt</t>
  </si>
  <si>
    <t>cwt net yield/acre</t>
  </si>
  <si>
    <t xml:space="preserve">Total </t>
  </si>
  <si>
    <t>hours pumping</t>
  </si>
  <si>
    <t>Diesel</t>
  </si>
  <si>
    <t>per acre</t>
  </si>
  <si>
    <t>Crop Consulting per acre</t>
  </si>
  <si>
    <t>Acres</t>
  </si>
  <si>
    <t>Labour per acre</t>
  </si>
  <si>
    <t>rate</t>
  </si>
  <si>
    <t>total per acre</t>
  </si>
  <si>
    <t>Content Insurance (value of production)</t>
  </si>
  <si>
    <t>Insured value of production ($/cwt)</t>
  </si>
  <si>
    <t>Content insurance</t>
  </si>
  <si>
    <t>Total Insurance</t>
  </si>
  <si>
    <t>Value</t>
  </si>
  <si>
    <t>Pipeline (per 2 miles)</t>
  </si>
  <si>
    <t>Well &amp; Pump</t>
  </si>
  <si>
    <t>Water Reservoir</t>
  </si>
  <si>
    <t>Electrical &amp; pipeline</t>
  </si>
  <si>
    <t>Breakeven Yield (Gross cwt)</t>
  </si>
  <si>
    <t>Marketable Yield per acre (cwt)</t>
  </si>
  <si>
    <t>Cost /CWT  (Based on Gross Yield)</t>
  </si>
  <si>
    <t>Phosphate:  10-34-0</t>
  </si>
  <si>
    <t>This budget outlines the cost of producing processing potatoes under irrigated conditions.</t>
  </si>
  <si>
    <r>
      <t xml:space="preserve">Labour Costs </t>
    </r>
    <r>
      <rPr>
        <sz val="12"/>
        <rFont val="Arial"/>
        <family val="2"/>
      </rPr>
      <t>(Owner Labour and Management)</t>
    </r>
  </si>
  <si>
    <t>Return on Assets (ROA)</t>
  </si>
  <si>
    <t xml:space="preserve">Total annual non-potato acres in crop rotation </t>
  </si>
  <si>
    <t>Building, climate control &amp; loading area</t>
  </si>
  <si>
    <t>Rate/cwt</t>
  </si>
  <si>
    <t>Size</t>
  </si>
  <si>
    <t xml:space="preserve">Building &amp; Climate Control </t>
  </si>
  <si>
    <t>Months</t>
  </si>
  <si>
    <t>Estimated non-potato acres in crop rotation (per acre)</t>
  </si>
  <si>
    <t xml:space="preserve"> - Marginal Return Over Total Costs (Net Profit)</t>
  </si>
  <si>
    <t xml:space="preserve"> - Operating Interest</t>
  </si>
  <si>
    <t>Rate/ac</t>
  </si>
  <si>
    <t>Total Cost/ac</t>
  </si>
  <si>
    <t>Gross Yield per acre (cwt)</t>
  </si>
  <si>
    <t xml:space="preserve">Return on Asset (ROA) Assumptions </t>
  </si>
  <si>
    <t>This budget outlines the cost of producing processing potatoes under irrigated conditions and is based on a pivot system.</t>
  </si>
  <si>
    <t xml:space="preserve">Net Profit = Gross Revenue - Total Cost  </t>
  </si>
  <si>
    <t xml:space="preserve">Operating Expense Ratio = (Operating Cost / Gross Revenue) x 100 </t>
  </si>
  <si>
    <t>Profitability &amp; Breakeven Analysis:</t>
  </si>
  <si>
    <t xml:space="preserve">Breakeven Yield = Cost / Price per Unit </t>
  </si>
  <si>
    <t xml:space="preserve">Gross Revenue = Price per unit x Yield per acre </t>
  </si>
  <si>
    <t>Potato - Gross Yield</t>
  </si>
  <si>
    <t>(Includes estimated return from annual non-potato acres in crop rotation)</t>
  </si>
  <si>
    <t>Phosphate:   11-52-0</t>
  </si>
  <si>
    <t>Diesel Fuel Cost $/litre</t>
  </si>
  <si>
    <t>1.06 Trucking Costs - Processor</t>
  </si>
  <si>
    <t>Bin piler (primary)</t>
  </si>
  <si>
    <t>Bin piler (secondary)</t>
  </si>
  <si>
    <t>Total Machinery Costs</t>
  </si>
  <si>
    <t>Conveyor (3'x150')</t>
  </si>
  <si>
    <t>Diggers</t>
  </si>
  <si>
    <t>Hog</t>
  </si>
  <si>
    <t>Skid Steer</t>
  </si>
  <si>
    <t>Tractor (280hp)</t>
  </si>
  <si>
    <t>Roterra</t>
  </si>
  <si>
    <t>Cultivator</t>
  </si>
  <si>
    <t>Disc</t>
  </si>
  <si>
    <t>Even Flow Tub</t>
  </si>
  <si>
    <t>Tandem Truck</t>
  </si>
  <si>
    <t>Belt Bottom Boxes</t>
  </si>
  <si>
    <t>(enter equipment here)</t>
  </si>
  <si>
    <t>Custom - aerial</t>
  </si>
  <si>
    <t>Custom - granular</t>
  </si>
  <si>
    <t>aerial applications</t>
  </si>
  <si>
    <t xml:space="preserve">Picking table </t>
  </si>
  <si>
    <t>Utilities cost is based on flat rate for all yields.</t>
  </si>
  <si>
    <t xml:space="preserve">Dirt conveyor </t>
  </si>
  <si>
    <t>Total Rented Acres</t>
  </si>
  <si>
    <t>Marketable Yield (cwt per acre)</t>
  </si>
  <si>
    <t>Total Owned  Acres</t>
  </si>
  <si>
    <t>Owned Land Value Per Acre</t>
  </si>
  <si>
    <t xml:space="preserve"> - Land Investment Cost</t>
  </si>
  <si>
    <t xml:space="preserve"> - Machinery Investment Cost</t>
  </si>
  <si>
    <t>Land Rental</t>
  </si>
  <si>
    <t>land rental</t>
  </si>
  <si>
    <t>Gross Yield (cwt/acre)</t>
  </si>
  <si>
    <t>Marketable Yield (cwt/acre)</t>
  </si>
  <si>
    <t xml:space="preserve">         Trucking Reimbursement ($/cwt)</t>
  </si>
  <si>
    <t>Field Operation</t>
  </si>
  <si>
    <t>b) Truck Fuel Costs - harvest from field to storage</t>
  </si>
  <si>
    <t>buildings &amp; equipment</t>
  </si>
  <si>
    <t>total other costs</t>
  </si>
  <si>
    <t>Useful life (yrs.)</t>
  </si>
  <si>
    <t>Potato</t>
  </si>
  <si>
    <t>$ per acre</t>
  </si>
  <si>
    <t>potato acres - owned land</t>
  </si>
  <si>
    <t>Cost ($/cwt)</t>
  </si>
  <si>
    <t>Seed Cost</t>
  </si>
  <si>
    <t>Cutting Cost - Custom Rate</t>
  </si>
  <si>
    <t>Seed Treatment - Fungicide</t>
  </si>
  <si>
    <t>Seed Treatment - Insecticide</t>
  </si>
  <si>
    <t xml:space="preserve"> (cwt/acre)</t>
  </si>
  <si>
    <t>Seeding Rate</t>
  </si>
  <si>
    <t>Potato Contract Price</t>
  </si>
  <si>
    <t xml:space="preserve">       Treatment Cost </t>
  </si>
  <si>
    <t xml:space="preserve">1.02  Fertilizer </t>
  </si>
  <si>
    <t xml:space="preserve">1.03  Herbicide </t>
  </si>
  <si>
    <t>1.04  Fungicide &amp; Insecticide</t>
  </si>
  <si>
    <t>1.05 Fuel Costs</t>
  </si>
  <si>
    <t>1.06  Trucking Costs - from storage to processor (Custom haul)</t>
  </si>
  <si>
    <t>1.07  Irrigation Costs</t>
  </si>
  <si>
    <t>1.08  Maintenance &amp; Repairs</t>
  </si>
  <si>
    <t>1.10 Hired Labour Costs</t>
  </si>
  <si>
    <t>1.11 Insurance</t>
  </si>
  <si>
    <t>1.14 Interest on Operating Costs</t>
  </si>
  <si>
    <t>Land Rental Per Acre (potato acres only)</t>
  </si>
  <si>
    <t>Farm trucks (seasonal)</t>
  </si>
  <si>
    <t>Farm trucks (annual)</t>
  </si>
  <si>
    <t>farm trucks (seasonal)</t>
  </si>
  <si>
    <t>farm trucks (annual)</t>
  </si>
  <si>
    <t>Phone / Cell</t>
  </si>
  <si>
    <t xml:space="preserve">Return on Assets = </t>
  </si>
  <si>
    <t xml:space="preserve"> (((Potato acres: net profit + operating interest + land inv. cost + investment cost) x acres) + (Non-potato acres: net profit + operating interest + land inv. cost + investment cost) x acres)))</t>
  </si>
  <si>
    <t xml:space="preserve">These budgets may be adjusted by putting in your own figures.  As a producer you are encouraged to calculate your own costs of production for various crops. On each farm, costs and yields differ due to soil type, climate and agronomic practices. </t>
  </si>
  <si>
    <t xml:space="preserve">This tool is available as an Excel worksheet at: </t>
  </si>
  <si>
    <t>Phos Acid Fungicide</t>
  </si>
  <si>
    <t xml:space="preserve">         Trucking Rate ($/cwt) based on 70 miles to processor</t>
  </si>
  <si>
    <t>determine machinery costs.</t>
  </si>
  <si>
    <t>Tractor (500hp)</t>
  </si>
  <si>
    <t>Planter</t>
  </si>
  <si>
    <t>Wheat</t>
  </si>
  <si>
    <t>Canola</t>
  </si>
  <si>
    <t>Soybeans</t>
  </si>
  <si>
    <t>80% Coverage of Total Costs</t>
  </si>
  <si>
    <t>80% Coverage of Operating Costs</t>
  </si>
  <si>
    <t>80% Coverage of Total Costs (Risk)</t>
  </si>
  <si>
    <t>Return on Investment (Reward)</t>
  </si>
  <si>
    <t>Target Yield as % of B/E Yield</t>
  </si>
  <si>
    <t>Return on Investment (ROI)</t>
  </si>
  <si>
    <t>80% Insured Value</t>
  </si>
  <si>
    <t>*****Re-sort Yellow rows based on column O ******   *****CHARTS &amp; TABLES will AUTO update!! ******</t>
  </si>
  <si>
    <t>****sort on column p to reset to original listing ****</t>
  </si>
  <si>
    <t>Costs Not Covered by AI</t>
  </si>
  <si>
    <t>A.  Operating Costs</t>
  </si>
  <si>
    <t>B.   Fixed Costs</t>
  </si>
  <si>
    <t>C. Labour</t>
  </si>
  <si>
    <t>Target Yield</t>
  </si>
  <si>
    <t>$/unit</t>
  </si>
  <si>
    <t>Gross Revenue</t>
  </si>
  <si>
    <t>ORDERED</t>
  </si>
  <si>
    <t>Margin Over Operating</t>
  </si>
  <si>
    <t>Margin Over Operating &amp; Fixed</t>
  </si>
  <si>
    <t>Margin Over Total Costs</t>
  </si>
  <si>
    <t>Rank</t>
  </si>
  <si>
    <t>B/E Yield Over Op Costs</t>
  </si>
  <si>
    <t>B/E Yield Over Op &amp; Fixed Costs</t>
  </si>
  <si>
    <t>Breakeven Yield Over Total Costs</t>
  </si>
  <si>
    <t>%</t>
  </si>
  <si>
    <t>% of Op Cost</t>
  </si>
  <si>
    <t>% of Total Costs</t>
  </si>
  <si>
    <t>Premium $/Acre</t>
  </si>
  <si>
    <t>Premium % of Insured Value</t>
  </si>
  <si>
    <t>Operating &amp; Fixed Costs</t>
  </si>
  <si>
    <t>B/E Operating Costs</t>
  </si>
  <si>
    <t>B/E Op &amp; Fixed Costs</t>
  </si>
  <si>
    <t>B/E Over Total Costs</t>
  </si>
  <si>
    <t>$ Revenue Per $ Cost</t>
  </si>
  <si>
    <t>Return on Asset (ROA)</t>
  </si>
  <si>
    <t>$/unit Covered By AgriInsurance</t>
  </si>
  <si>
    <t>$/unit  Exposed Risk</t>
  </si>
  <si>
    <t>$/unit Reward</t>
  </si>
  <si>
    <t>Maximum Available for Land Rent</t>
  </si>
  <si>
    <t>18% Profit</t>
  </si>
  <si>
    <t>18% ROI</t>
  </si>
  <si>
    <t>22% Profit</t>
  </si>
  <si>
    <t>22% ROI</t>
  </si>
  <si>
    <t>Coverage of Total Costs (Risk)</t>
  </si>
  <si>
    <t>Labour Costs</t>
  </si>
  <si>
    <t>Target or Average Yield as % of B/E Yield</t>
  </si>
  <si>
    <t>Yield</t>
  </si>
  <si>
    <t>Margin Over Operating Costs</t>
  </si>
  <si>
    <t>Margin Over Op &amp; Fixed Costs</t>
  </si>
  <si>
    <t>Margin Over Total Costs (Net Profit)</t>
  </si>
  <si>
    <t>Coverage of Operating Costs</t>
  </si>
  <si>
    <t xml:space="preserve">Coverage of Total Costs </t>
  </si>
  <si>
    <t xml:space="preserve"> Operating &amp; Fixed Costs</t>
  </si>
  <si>
    <t>Target $/unit</t>
  </si>
  <si>
    <t xml:space="preserve"> Fixed Costs</t>
  </si>
  <si>
    <t>Rent = 18% Share</t>
  </si>
  <si>
    <t>$/Ac Net Profit (@18% Share Rent)</t>
  </si>
  <si>
    <t>ROI % (@18% Share Rent)</t>
  </si>
  <si>
    <t>Rent = 22% Share</t>
  </si>
  <si>
    <t>$/Ac Net Profit (@22% Share Rent)</t>
  </si>
  <si>
    <t>ROI % (@22% Share Rent)</t>
  </si>
  <si>
    <t>Avg. Max Available for Land Rent</t>
  </si>
  <si>
    <t>Avg. Rent = 18% Share</t>
  </si>
  <si>
    <t>Avg. Rent = 22% Share</t>
  </si>
  <si>
    <t>Wheat - Hard Red Spring</t>
  </si>
  <si>
    <t>Rent ($/ac)</t>
  </si>
  <si>
    <t>Net Profit ($/ac)</t>
  </si>
  <si>
    <t>Soybean</t>
  </si>
  <si>
    <t>CWRS</t>
  </si>
  <si>
    <t>Avg 3 crops</t>
  </si>
  <si>
    <t>risk and reward</t>
  </si>
  <si>
    <t>Winter wheat</t>
  </si>
  <si>
    <t>ins.$/bu</t>
  </si>
  <si>
    <t>Manitoba</t>
  </si>
  <si>
    <t>RA #1</t>
  </si>
  <si>
    <t>RA#2</t>
  </si>
  <si>
    <t>RA#3</t>
  </si>
  <si>
    <t>RA#4</t>
  </si>
  <si>
    <t>RA#5</t>
  </si>
  <si>
    <t>RA#6</t>
  </si>
  <si>
    <t>RA#7</t>
  </si>
  <si>
    <t>RA#8</t>
  </si>
  <si>
    <t>RA#9</t>
  </si>
  <si>
    <t>RA#10</t>
  </si>
  <si>
    <t>RA#11</t>
  </si>
  <si>
    <t>RA#12</t>
  </si>
  <si>
    <t>RA#32</t>
  </si>
  <si>
    <t>RA#14</t>
  </si>
  <si>
    <t>RA#15</t>
  </si>
  <si>
    <t>RA#16</t>
  </si>
  <si>
    <t>70% Insured Value</t>
  </si>
  <si>
    <t>50% Insured Value</t>
  </si>
  <si>
    <t>Avg 2,5,6,12</t>
  </si>
  <si>
    <t>Barley</t>
  </si>
  <si>
    <t>Oats</t>
  </si>
  <si>
    <t>Corn</t>
  </si>
  <si>
    <t>Navy Beans</t>
  </si>
  <si>
    <t>Flaxseed</t>
  </si>
  <si>
    <t>Sunflowers Confection</t>
  </si>
  <si>
    <t>Sunflowers Oil</t>
  </si>
  <si>
    <t>Peas</t>
  </si>
  <si>
    <t>Fall Rye</t>
  </si>
  <si>
    <t>Canary Seed</t>
  </si>
  <si>
    <t>Lentils</t>
  </si>
  <si>
    <t>Buckwheat</t>
  </si>
  <si>
    <t>Hempseed</t>
  </si>
  <si>
    <t>COP</t>
  </si>
  <si>
    <t>Expected Yield 'D'</t>
  </si>
  <si>
    <t>Avg.</t>
  </si>
  <si>
    <t>50% Crop</t>
  </si>
  <si>
    <t>70% Crop</t>
  </si>
  <si>
    <t>80% Crop</t>
  </si>
  <si>
    <t>Land Cost</t>
  </si>
  <si>
    <t>Equipment Cost</t>
  </si>
  <si>
    <t>Owner Withdrawl</t>
  </si>
  <si>
    <t>Breakeven Yield Risk Ratio</t>
  </si>
  <si>
    <t>(Target Yield per Acre / BE Yield)</t>
  </si>
  <si>
    <t>Wheat - Northern Hard Red</t>
  </si>
  <si>
    <t>Sunflower Confection</t>
  </si>
  <si>
    <t>Beans - Pinto</t>
  </si>
  <si>
    <t>Beans - White</t>
  </si>
  <si>
    <t>Sunflower Oil</t>
  </si>
  <si>
    <t>Wheat - Special Purpose</t>
  </si>
  <si>
    <t>Wheat - Prairie Spring</t>
  </si>
  <si>
    <t>Irrigated Potato</t>
  </si>
  <si>
    <t>80% Insured Value Premium $/Acre</t>
  </si>
  <si>
    <t>Avg</t>
  </si>
  <si>
    <t>B/E Price Over Op Costs</t>
  </si>
  <si>
    <t>Breakeven Price Over Total Costs</t>
  </si>
  <si>
    <t>Target Price</t>
  </si>
  <si>
    <t>Roterra/hiller</t>
  </si>
  <si>
    <t>Wheel loader/telehandler</t>
  </si>
  <si>
    <t>Windrower</t>
  </si>
  <si>
    <t>Manitoba - 22% Land Rent Calculation - 2018</t>
  </si>
  <si>
    <t>Manitoba - Average Land Rent Calculation - 2018</t>
  </si>
  <si>
    <t>Manitoba - Breakeven Land Rent Calculation - 2018</t>
  </si>
  <si>
    <t>Manitoba - 18% Land Rent Calculation - 2018</t>
  </si>
  <si>
    <t>Manitoba Crop Profitability ($/Acre) - 2018</t>
  </si>
  <si>
    <t>Manitoba Crop Income &amp; Expenses ($/Acre) - 2018</t>
  </si>
  <si>
    <t>Manitoba Crop Marginal Returns ($/Acre) - 2018</t>
  </si>
  <si>
    <t>Manitoba Breakeven vs Target Price ($/unit) - 2018</t>
  </si>
  <si>
    <t>Manitoba Yield per Acre - 2018</t>
  </si>
  <si>
    <t>Manitoba Breakeven Price ($/unit) - 2018</t>
  </si>
  <si>
    <t>Manitoba Crop Revenue Ratio Analysis - 2018</t>
  </si>
  <si>
    <t>Manitoba Risk &amp; Reward Analysis - 2018</t>
  </si>
  <si>
    <t>Manitoba Crop Revenue Analysis - 2018</t>
  </si>
  <si>
    <t>Manitoba Breakeven vs Target Yields (per Acre) - 2018</t>
  </si>
  <si>
    <t>Manitoba Breakeven Yields (per Acre) - 2018</t>
  </si>
  <si>
    <t>Manitoba Crop Production Costs ($/Acre) - 2018</t>
  </si>
  <si>
    <t>Manitoba Crop Gross Revenue ($/Acre) - 2018</t>
  </si>
  <si>
    <t>Manitoba - 80% Insured Value AgriInsurance Risk Analysis - 2018</t>
  </si>
  <si>
    <t>Manitoba Crop Profitability 'Stress Test' - Price Down 10% &amp; Yield Down 5% ($/Acre) - 2018</t>
  </si>
  <si>
    <t>Manitoba Costs Not Covered By 80% Insured Value AgriInsurance - 2018</t>
  </si>
  <si>
    <t>Manitoba - Monetizing Risk &amp; Reward ($/unit) - 2018</t>
  </si>
  <si>
    <t>MASC 2018 Insured Value</t>
  </si>
  <si>
    <t>Wheat - Winter</t>
  </si>
  <si>
    <t>Stress Test - Market Price Change = -10% &amp; Crop Yield Change = -5%</t>
  </si>
  <si>
    <r>
      <t>The following budgets is estimates of the cost of producing processing potatoes in Manitoba.  General Manitoba Agriculture recommendations are assumed in using fertilizers and chemical inputs. These figures provide an economic evaluation of the crops and estimated yields required to cover all costs.  Costs include labour, investment, depreciation, and owner</t>
    </r>
    <r>
      <rPr>
        <i/>
        <sz val="14"/>
        <rFont val="Arial"/>
        <family val="2"/>
      </rPr>
      <t xml:space="preserve"> </t>
    </r>
    <r>
      <rPr>
        <sz val="14"/>
        <rFont val="Arial"/>
        <family val="2"/>
      </rPr>
      <t>management costs, but do not necessarily represent the average cost of production in Manitoba.</t>
    </r>
  </si>
  <si>
    <r>
      <t>Note:</t>
    </r>
    <r>
      <rPr>
        <sz val="11"/>
        <rFont val="Arial"/>
        <family val="2"/>
      </rPr>
      <t xml:space="preserve"> This budget is only a guide and is not intended as an in depth study of the cost of production of this industry. Interpretation and use of this information is the responsibility of the user.  If you need help with a budget, contact Farm Management Specialist.</t>
    </r>
  </si>
  <si>
    <t>MASC Crop Insurance, is based on 2022 rates at 80% coverage.</t>
  </si>
  <si>
    <t>Irrigated Processing Potato Cost of Production - 2022/2023</t>
  </si>
  <si>
    <t xml:space="preserve">Date:  February, </t>
  </si>
  <si>
    <t xml:space="preserve">                                                                                         </t>
  </si>
  <si>
    <t xml:space="preserve"> is also available to 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</si>
</sst>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7" formatCode="&quot;$&quot;#,##0.00;\-&quot;$&quot;#,##0.00"/>
    <numFmt numFmtId="164" formatCode="&quot;$&quot;#,##0_);\(&quot;$&quot;#,##0\)"/>
    <numFmt numFmtId="165" formatCode="&quot;$&quot;#,##0.00_);\(&quot;$&quot;#,##0.00\)"/>
    <numFmt numFmtId="166" formatCode="&quot;$&quot;#,##0.0000\ ;\(&quot;$&quot;#,##0.0000\)"/>
    <numFmt numFmtId="167" formatCode="0.0%"/>
    <numFmt numFmtId="168" formatCode="&quot;$&quot;#,##0.00"/>
    <numFmt numFmtId="169" formatCode="&quot;$&quot;#,##0"/>
    <numFmt numFmtId="170" formatCode="0.0"/>
    <numFmt numFmtId="171" formatCode="#,##0.0"/>
    <numFmt numFmtId="172" formatCode="&quot;$&quot;#,##0.0000"/>
    <numFmt numFmtId="173" formatCode="&quot;$&quot;#,##0.000"/>
    <numFmt numFmtId="174" formatCode="&quot;$&quot;#,##0.000;\-&quot;$&quot;#,##0.000"/>
    <numFmt numFmtId="175" formatCode="#,##0_ ;\-#,##0\ "/>
    <numFmt numFmtId="176" formatCode="#,##0.0_ ;\-#,##0.0\ "/>
    <numFmt numFmtId="177" formatCode="0.0%;\(0.0%\)"/>
    <numFmt numFmtId="178" formatCode="0.00%;[Red]\(0.00%\)"/>
    <numFmt numFmtId="179" formatCode="0.00%;\(0.00%\)"/>
    <numFmt numFmtId="180" formatCode="&quot;$&quot;#,##0.00;\(&quot;$&quot;#,##0.00\)"/>
    <numFmt numFmtId="181" formatCode="&quot;$&quot;#,##0.0;\-&quot;$&quot;#,##0.0"/>
  </numFmts>
  <fonts count="44" x14ac:knownFonts="1">
    <font>
      <sz val="12"/>
      <name val="Arial"/>
    </font>
    <font>
      <sz val="12"/>
      <name val="Lucida Sans Unicode"/>
      <family val="2"/>
    </font>
    <font>
      <sz val="12"/>
      <name val="Arial"/>
      <family val="2"/>
    </font>
    <font>
      <b/>
      <sz val="12"/>
      <name val="Arial"/>
      <family val="2"/>
    </font>
    <font>
      <u/>
      <sz val="12"/>
      <name val="Arial"/>
      <family val="2"/>
    </font>
    <font>
      <b/>
      <u/>
      <sz val="12"/>
      <name val="Arial"/>
      <family val="2"/>
    </font>
    <font>
      <b/>
      <sz val="12"/>
      <color indexed="12"/>
      <name val="Arial"/>
      <family val="2"/>
    </font>
    <font>
      <b/>
      <u/>
      <sz val="12"/>
      <color indexed="12"/>
      <name val="Arial"/>
      <family val="2"/>
    </font>
    <font>
      <b/>
      <sz val="14"/>
      <name val="Arial"/>
      <family val="2"/>
    </font>
    <font>
      <sz val="14"/>
      <name val="Arial"/>
      <family val="2"/>
    </font>
    <font>
      <sz val="8"/>
      <name val="Arial"/>
      <family val="2"/>
    </font>
    <font>
      <b/>
      <sz val="12"/>
      <color indexed="8"/>
      <name val="Arial"/>
      <family val="2"/>
    </font>
    <font>
      <sz val="12"/>
      <color indexed="8"/>
      <name val="Arial"/>
      <family val="2"/>
    </font>
    <font>
      <b/>
      <i/>
      <sz val="12"/>
      <name val="Arial"/>
      <family val="2"/>
    </font>
    <font>
      <b/>
      <sz val="11"/>
      <name val="Arial"/>
      <family val="2"/>
    </font>
    <font>
      <sz val="12"/>
      <color indexed="10"/>
      <name val="Arial"/>
      <family val="2"/>
    </font>
    <font>
      <sz val="16"/>
      <color indexed="18"/>
      <name val="Arial"/>
      <family val="2"/>
    </font>
    <font>
      <sz val="16"/>
      <name val="Arial"/>
      <family val="2"/>
    </font>
    <font>
      <b/>
      <sz val="16"/>
      <color indexed="18"/>
      <name val="Arial"/>
      <family val="2"/>
    </font>
    <font>
      <b/>
      <sz val="16"/>
      <name val="Arial"/>
      <family val="2"/>
    </font>
    <font>
      <b/>
      <sz val="20"/>
      <color indexed="18"/>
      <name val="Arial"/>
      <family val="2"/>
    </font>
    <font>
      <b/>
      <sz val="20"/>
      <name val="Arial"/>
      <family val="2"/>
    </font>
    <font>
      <sz val="11"/>
      <name val="Arial"/>
      <family val="2"/>
    </font>
    <font>
      <sz val="22"/>
      <name val="Arial"/>
      <family val="2"/>
    </font>
    <font>
      <i/>
      <sz val="14"/>
      <name val="Arial"/>
      <family val="2"/>
    </font>
    <font>
      <sz val="10"/>
      <name val="Arial"/>
      <family val="2"/>
    </font>
    <font>
      <b/>
      <u/>
      <sz val="11"/>
      <name val="Arial"/>
      <family val="2"/>
    </font>
    <font>
      <b/>
      <u/>
      <sz val="14"/>
      <name val="Arial"/>
      <family val="2"/>
    </font>
    <font>
      <sz val="10"/>
      <name val="Arial"/>
      <family val="2"/>
    </font>
    <font>
      <sz val="10"/>
      <name val="Arial"/>
      <family val="2"/>
    </font>
    <font>
      <sz val="9"/>
      <name val="Arial"/>
      <family val="2"/>
    </font>
    <font>
      <b/>
      <sz val="10"/>
      <name val="Arial"/>
      <family val="2"/>
    </font>
    <font>
      <b/>
      <sz val="11"/>
      <color theme="1"/>
      <name val="Calibri"/>
      <family val="2"/>
      <scheme val="minor"/>
    </font>
    <font>
      <sz val="12"/>
      <color theme="0"/>
      <name val="Arial"/>
      <family val="2"/>
    </font>
    <font>
      <b/>
      <sz val="12"/>
      <color rgb="FF0000FF"/>
      <name val="Arial"/>
      <family val="2"/>
    </font>
    <font>
      <b/>
      <sz val="12"/>
      <color theme="0"/>
      <name val="Arial"/>
      <family val="2"/>
    </font>
    <font>
      <b/>
      <sz val="12"/>
      <color theme="1"/>
      <name val="Arial"/>
      <family val="2"/>
    </font>
    <font>
      <b/>
      <sz val="12"/>
      <color rgb="FFFF0000"/>
      <name val="Arial"/>
      <family val="2"/>
    </font>
    <font>
      <b/>
      <sz val="11"/>
      <color rgb="FFFF0000"/>
      <name val="Arial"/>
      <family val="2"/>
    </font>
    <font>
      <sz val="12"/>
      <color theme="1"/>
      <name val="Arial"/>
      <family val="2"/>
    </font>
    <font>
      <b/>
      <sz val="11"/>
      <color rgb="FF0000FF"/>
      <name val="Arial"/>
      <family val="2"/>
    </font>
    <font>
      <b/>
      <sz val="14"/>
      <color theme="0"/>
      <name val="Arial"/>
      <family val="2"/>
    </font>
    <font>
      <sz val="14"/>
      <color theme="0"/>
      <name val="Arial"/>
      <family val="2"/>
    </font>
    <font>
      <b/>
      <sz val="10"/>
      <color rgb="FF0000FF"/>
      <name val="Arial"/>
      <family val="2"/>
    </font>
  </fonts>
  <fills count="7">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alignment vertical="top"/>
    </xf>
    <xf numFmtId="40" fontId="2" fillId="0" borderId="0"/>
    <xf numFmtId="165" fontId="2" fillId="0" borderId="0">
      <alignment horizontal="right" vertical="justify"/>
    </xf>
    <xf numFmtId="0" fontId="25" fillId="0" borderId="0">
      <alignment vertical="top"/>
    </xf>
    <xf numFmtId="0" fontId="2" fillId="0" borderId="0">
      <alignment vertical="top"/>
    </xf>
    <xf numFmtId="0" fontId="29" fillId="0" borderId="0">
      <alignment vertical="top"/>
    </xf>
    <xf numFmtId="168" fontId="2" fillId="0" borderId="0">
      <alignment vertical="top"/>
    </xf>
  </cellStyleXfs>
  <cellXfs count="290">
    <xf numFmtId="0" fontId="0" fillId="0" borderId="0" xfId="0" applyAlignment="1"/>
    <xf numFmtId="0" fontId="1" fillId="0" borderId="0" xfId="0" applyFont="1" applyAlignment="1"/>
    <xf numFmtId="0" fontId="2" fillId="0" borderId="0" xfId="0" applyFont="1" applyAlignment="1"/>
    <xf numFmtId="168" fontId="2" fillId="0" borderId="0" xfId="6">
      <alignment vertical="top"/>
    </xf>
    <xf numFmtId="0" fontId="3" fillId="0" borderId="0" xfId="0" applyFont="1" applyAlignment="1"/>
    <xf numFmtId="0" fontId="6" fillId="0" borderId="0" xfId="0" applyFont="1" applyAlignment="1"/>
    <xf numFmtId="0" fontId="3" fillId="0" borderId="0" xfId="0" applyFont="1" applyAlignment="1">
      <alignment horizontal="right"/>
    </xf>
    <xf numFmtId="0" fontId="5" fillId="0" borderId="0" xfId="0" applyFont="1" applyAlignment="1">
      <alignment horizontal="right"/>
    </xf>
    <xf numFmtId="7" fontId="2" fillId="0" borderId="0" xfId="0" applyNumberFormat="1" applyFont="1" applyAlignment="1"/>
    <xf numFmtId="0" fontId="4" fillId="0" borderId="0" xfId="0" applyFont="1" applyAlignment="1"/>
    <xf numFmtId="5" fontId="2" fillId="0" borderId="0" xfId="0" applyNumberFormat="1" applyFont="1" applyAlignment="1"/>
    <xf numFmtId="0" fontId="2" fillId="0" borderId="0" xfId="0" quotePrefix="1" applyFont="1" applyAlignment="1"/>
    <xf numFmtId="166" fontId="2" fillId="0" borderId="0" xfId="0" applyNumberFormat="1" applyFont="1" applyAlignment="1"/>
    <xf numFmtId="0" fontId="2" fillId="0" borderId="1" xfId="0" applyFont="1" applyBorder="1" applyAlignment="1"/>
    <xf numFmtId="0" fontId="2" fillId="0" borderId="2" xfId="0" applyFont="1" applyBorder="1" applyAlignment="1"/>
    <xf numFmtId="17" fontId="3" fillId="0" borderId="0" xfId="6" applyNumberFormat="1" applyFont="1" applyAlignment="1">
      <alignment horizontal="right" vertical="top"/>
    </xf>
    <xf numFmtId="168" fontId="2" fillId="0" borderId="0" xfId="0" applyNumberFormat="1" applyFont="1" applyAlignment="1"/>
    <xf numFmtId="168" fontId="4" fillId="0" borderId="0" xfId="0" applyNumberFormat="1" applyFont="1" applyAlignment="1"/>
    <xf numFmtId="168" fontId="3" fillId="0" borderId="0" xfId="0" applyNumberFormat="1" applyFont="1" applyAlignment="1"/>
    <xf numFmtId="2" fontId="2" fillId="0" borderId="0" xfId="0" quotePrefix="1" applyNumberFormat="1" applyFont="1" applyAlignment="1"/>
    <xf numFmtId="0" fontId="2" fillId="0" borderId="0" xfId="0" quotePrefix="1" applyFont="1" applyAlignment="1">
      <alignment horizontal="left"/>
    </xf>
    <xf numFmtId="168" fontId="3" fillId="0" borderId="0" xfId="6" applyFont="1">
      <alignment vertical="top"/>
    </xf>
    <xf numFmtId="0" fontId="0" fillId="0" borderId="0" xfId="0">
      <alignment vertical="top"/>
    </xf>
    <xf numFmtId="0" fontId="3" fillId="0" borderId="0" xfId="0" applyFont="1" applyAlignment="1">
      <alignment horizontal="center"/>
    </xf>
    <xf numFmtId="0" fontId="2" fillId="0" borderId="0" xfId="0" applyFont="1">
      <alignment vertical="top"/>
    </xf>
    <xf numFmtId="49" fontId="2" fillId="0" borderId="0" xfId="0" applyNumberFormat="1" applyFont="1">
      <alignment vertical="top"/>
    </xf>
    <xf numFmtId="0" fontId="5" fillId="0" borderId="0" xfId="0" applyFont="1" applyAlignment="1"/>
    <xf numFmtId="3" fontId="2" fillId="0" borderId="0" xfId="0" applyNumberFormat="1" applyFont="1" applyAlignment="1"/>
    <xf numFmtId="7" fontId="4" fillId="0" borderId="0" xfId="0" applyNumberFormat="1" applyFont="1" applyAlignment="1"/>
    <xf numFmtId="3" fontId="4" fillId="0" borderId="0" xfId="0" applyNumberFormat="1" applyFont="1" applyAlignment="1"/>
    <xf numFmtId="165" fontId="2" fillId="0" borderId="0" xfId="2">
      <alignment horizontal="right" vertical="justify"/>
    </xf>
    <xf numFmtId="174" fontId="4" fillId="0" borderId="0" xfId="0" applyNumberFormat="1" applyFont="1" applyAlignment="1"/>
    <xf numFmtId="165" fontId="3" fillId="0" borderId="0" xfId="2" applyFont="1">
      <alignment horizontal="right" vertical="justify"/>
    </xf>
    <xf numFmtId="2" fontId="2" fillId="0" borderId="0" xfId="0" applyNumberFormat="1" applyFont="1" applyAlignment="1"/>
    <xf numFmtId="164" fontId="2" fillId="0" borderId="0" xfId="2" applyNumberFormat="1">
      <alignment horizontal="right" vertical="justify"/>
    </xf>
    <xf numFmtId="164" fontId="4" fillId="0" borderId="0" xfId="2" applyNumberFormat="1" applyFont="1">
      <alignment horizontal="right" vertical="justify"/>
    </xf>
    <xf numFmtId="167" fontId="4" fillId="0" borderId="0" xfId="0" applyNumberFormat="1" applyFont="1" applyAlignment="1"/>
    <xf numFmtId="0" fontId="13" fillId="0" borderId="0" xfId="0" applyFont="1" applyAlignment="1"/>
    <xf numFmtId="0" fontId="13" fillId="0" borderId="0" xfId="0" applyFont="1" applyAlignment="1">
      <alignment horizontal="center"/>
    </xf>
    <xf numFmtId="167" fontId="2" fillId="0" borderId="0" xfId="0" applyNumberFormat="1" applyFont="1" applyAlignment="1"/>
    <xf numFmtId="165" fontId="4" fillId="0" borderId="0" xfId="2" applyFont="1">
      <alignment horizontal="right" vertical="justify"/>
    </xf>
    <xf numFmtId="17" fontId="3" fillId="0" borderId="0" xfId="6" applyNumberFormat="1" applyFont="1" applyAlignment="1">
      <alignment horizontal="left" vertical="top"/>
    </xf>
    <xf numFmtId="168" fontId="3" fillId="0" borderId="0" xfId="6" applyFont="1" applyAlignment="1">
      <alignment horizontal="right" vertical="top"/>
    </xf>
    <xf numFmtId="0" fontId="0" fillId="0" borderId="0" xfId="0" applyAlignment="1">
      <alignment vertical="top" wrapText="1"/>
    </xf>
    <xf numFmtId="168" fontId="23" fillId="0" borderId="0" xfId="6" applyFont="1" applyAlignment="1">
      <alignment vertical="center"/>
    </xf>
    <xf numFmtId="168" fontId="2" fillId="0" borderId="0" xfId="6" applyAlignment="1">
      <alignment vertical="center"/>
    </xf>
    <xf numFmtId="168" fontId="9" fillId="0" borderId="0" xfId="6" applyFont="1" applyAlignment="1">
      <alignment horizontal="left" vertical="top" wrapText="1"/>
    </xf>
    <xf numFmtId="1" fontId="3" fillId="0" borderId="0" xfId="6" applyNumberFormat="1" applyFont="1" applyAlignment="1">
      <alignment horizontal="left" vertical="top"/>
    </xf>
    <xf numFmtId="0" fontId="33" fillId="2" borderId="0" xfId="0" applyFont="1" applyFill="1" applyAlignment="1"/>
    <xf numFmtId="0" fontId="2" fillId="0" borderId="0" xfId="0" applyFont="1" applyAlignment="1">
      <alignment horizontal="center"/>
    </xf>
    <xf numFmtId="169" fontId="34" fillId="0" borderId="0" xfId="0" applyNumberFormat="1" applyFont="1" applyAlignment="1" applyProtection="1">
      <protection locked="0"/>
    </xf>
    <xf numFmtId="173" fontId="3" fillId="0" borderId="0" xfId="0" applyNumberFormat="1" applyFont="1" applyAlignment="1"/>
    <xf numFmtId="7" fontId="3" fillId="0" borderId="0" xfId="0" applyNumberFormat="1" applyFont="1" applyAlignment="1"/>
    <xf numFmtId="0" fontId="35" fillId="2" borderId="0" xfId="3" applyFont="1" applyFill="1" applyAlignment="1"/>
    <xf numFmtId="0" fontId="3" fillId="0" borderId="0" xfId="3" applyFont="1" applyAlignment="1"/>
    <xf numFmtId="0" fontId="9" fillId="0" borderId="0" xfId="3" applyFont="1" applyAlignment="1"/>
    <xf numFmtId="0" fontId="2" fillId="0" borderId="0" xfId="3" applyFont="1" applyAlignment="1"/>
    <xf numFmtId="0" fontId="3" fillId="0" borderId="0" xfId="3" applyFont="1" applyAlignment="1">
      <alignment horizontal="center"/>
    </xf>
    <xf numFmtId="9" fontId="34" fillId="0" borderId="0" xfId="3" applyNumberFormat="1" applyFont="1" applyAlignment="1">
      <alignment horizontal="center"/>
    </xf>
    <xf numFmtId="0" fontId="22" fillId="0" borderId="0" xfId="3" applyFont="1" applyAlignment="1">
      <alignment horizontal="right"/>
    </xf>
    <xf numFmtId="0" fontId="14" fillId="0" borderId="0" xfId="3" applyFont="1" applyAlignment="1">
      <alignment horizontal="center"/>
    </xf>
    <xf numFmtId="0" fontId="14" fillId="0" borderId="0" xfId="3" applyFont="1" applyAlignment="1">
      <alignment horizontal="right"/>
    </xf>
    <xf numFmtId="0" fontId="22" fillId="0" borderId="0" xfId="3" applyFont="1" applyAlignment="1"/>
    <xf numFmtId="0" fontId="26" fillId="0" borderId="0" xfId="3" applyFont="1" applyAlignment="1">
      <alignment horizontal="center"/>
    </xf>
    <xf numFmtId="0" fontId="14" fillId="0" borderId="1" xfId="3" applyFont="1" applyBorder="1" applyAlignment="1"/>
    <xf numFmtId="7" fontId="2" fillId="0" borderId="0" xfId="3" applyNumberFormat="1" applyFont="1" applyAlignment="1"/>
    <xf numFmtId="0" fontId="9" fillId="0" borderId="1" xfId="3" applyFont="1" applyBorder="1" applyAlignment="1"/>
    <xf numFmtId="7" fontId="3" fillId="0" borderId="0" xfId="3" applyNumberFormat="1" applyFont="1" applyAlignment="1"/>
    <xf numFmtId="175" fontId="3" fillId="0" borderId="0" xfId="3" applyNumberFormat="1" applyFont="1" applyAlignment="1"/>
    <xf numFmtId="175" fontId="2" fillId="0" borderId="0" xfId="3" applyNumberFormat="1" applyFont="1" applyAlignment="1">
      <alignment horizontal="right"/>
    </xf>
    <xf numFmtId="0" fontId="2" fillId="3" borderId="0" xfId="3" applyFont="1" applyFill="1" applyAlignment="1"/>
    <xf numFmtId="175" fontId="2" fillId="3" borderId="0" xfId="3" applyNumberFormat="1" applyFont="1" applyFill="1" applyAlignment="1">
      <alignment horizontal="right"/>
    </xf>
    <xf numFmtId="0" fontId="3" fillId="3" borderId="3" xfId="3" applyFont="1" applyFill="1" applyBorder="1" applyAlignment="1">
      <alignment horizontal="center"/>
    </xf>
    <xf numFmtId="0" fontId="9" fillId="3" borderId="0" xfId="3" applyFont="1" applyFill="1" applyAlignment="1"/>
    <xf numFmtId="0" fontId="8" fillId="3" borderId="0" xfId="3" applyFont="1" applyFill="1" applyAlignment="1">
      <alignment horizontal="right"/>
    </xf>
    <xf numFmtId="9" fontId="34" fillId="0" borderId="3" xfId="3" applyNumberFormat="1" applyFont="1" applyBorder="1" applyAlignment="1" applyProtection="1">
      <alignment horizontal="center"/>
      <protection locked="0"/>
    </xf>
    <xf numFmtId="0" fontId="3" fillId="3" borderId="0" xfId="3" applyFont="1" applyFill="1" applyAlignment="1"/>
    <xf numFmtId="9" fontId="34" fillId="3" borderId="0" xfId="3" applyNumberFormat="1" applyFont="1" applyFill="1" applyAlignment="1" applyProtection="1">
      <alignment horizontal="center"/>
      <protection locked="0"/>
    </xf>
    <xf numFmtId="0" fontId="3" fillId="0" borderId="0" xfId="3" applyFont="1" applyAlignment="1">
      <alignment horizontal="right"/>
    </xf>
    <xf numFmtId="0" fontId="8" fillId="0" borderId="1" xfId="3" applyFont="1" applyBorder="1" applyAlignment="1"/>
    <xf numFmtId="0" fontId="8" fillId="0" borderId="0" xfId="3" applyFont="1" applyAlignment="1"/>
    <xf numFmtId="176" fontId="2" fillId="0" borderId="0" xfId="3" applyNumberFormat="1" applyFont="1" applyAlignment="1"/>
    <xf numFmtId="0" fontId="27" fillId="0" borderId="0" xfId="3" applyFont="1" applyAlignment="1"/>
    <xf numFmtId="0" fontId="2" fillId="0" borderId="0" xfId="3" applyFont="1" applyAlignment="1">
      <alignment horizontal="left"/>
    </xf>
    <xf numFmtId="165" fontId="2" fillId="0" borderId="0" xfId="3" applyNumberFormat="1" applyFont="1" applyAlignment="1"/>
    <xf numFmtId="177" fontId="2" fillId="0" borderId="0" xfId="3" applyNumberFormat="1" applyFont="1" applyAlignment="1"/>
    <xf numFmtId="0" fontId="9" fillId="0" borderId="2" xfId="3" applyFont="1" applyBorder="1" applyAlignment="1"/>
    <xf numFmtId="0" fontId="2" fillId="0" borderId="0" xfId="0" applyFont="1" applyAlignment="1">
      <alignment horizontal="right"/>
    </xf>
    <xf numFmtId="7" fontId="5" fillId="0" borderId="0" xfId="0" applyNumberFormat="1" applyFont="1" applyAlignment="1"/>
    <xf numFmtId="2" fontId="3" fillId="0" borderId="0" xfId="0" applyNumberFormat="1" applyFont="1" applyAlignment="1"/>
    <xf numFmtId="173" fontId="4" fillId="0" borderId="0" xfId="0" applyNumberFormat="1" applyFont="1" applyAlignment="1"/>
    <xf numFmtId="0" fontId="3" fillId="0" borderId="0" xfId="0" applyFont="1" applyAlignment="1">
      <alignment horizontal="left"/>
    </xf>
    <xf numFmtId="0" fontId="5" fillId="0" borderId="0" xfId="0" applyFont="1" applyAlignment="1">
      <alignment horizontal="left"/>
    </xf>
    <xf numFmtId="0" fontId="4" fillId="0" borderId="0" xfId="2" applyNumberFormat="1" applyFont="1">
      <alignment horizontal="right" vertical="justify"/>
    </xf>
    <xf numFmtId="172" fontId="2" fillId="0" borderId="0" xfId="2" applyNumberFormat="1">
      <alignment horizontal="right" vertical="justify"/>
    </xf>
    <xf numFmtId="172" fontId="3" fillId="0" borderId="0" xfId="2" applyNumberFormat="1" applyFont="1">
      <alignment horizontal="right" vertical="justify"/>
    </xf>
    <xf numFmtId="168" fontId="4" fillId="0" borderId="0" xfId="2" applyNumberFormat="1" applyFont="1">
      <alignment horizontal="right" vertical="justify"/>
    </xf>
    <xf numFmtId="168" fontId="3" fillId="0" borderId="0" xfId="2" applyNumberFormat="1" applyFont="1">
      <alignment horizontal="right" vertical="justify"/>
    </xf>
    <xf numFmtId="0" fontId="2" fillId="0" borderId="4" xfId="0" applyFont="1" applyBorder="1" applyAlignment="1"/>
    <xf numFmtId="5" fontId="6" fillId="0" borderId="0" xfId="0" applyNumberFormat="1" applyFont="1" applyAlignment="1" applyProtection="1">
      <protection locked="0"/>
    </xf>
    <xf numFmtId="0" fontId="34" fillId="0" borderId="0" xfId="0" applyFont="1" applyAlignment="1" applyProtection="1">
      <protection locked="0"/>
    </xf>
    <xf numFmtId="5" fontId="3" fillId="0" borderId="0" xfId="0" applyNumberFormat="1" applyFont="1" applyAlignment="1"/>
    <xf numFmtId="169" fontId="6" fillId="0" borderId="0" xfId="0" applyNumberFormat="1" applyFont="1" applyAlignment="1" applyProtection="1">
      <protection locked="0"/>
    </xf>
    <xf numFmtId="5" fontId="5" fillId="0" borderId="0" xfId="0" applyNumberFormat="1" applyFont="1" applyAlignment="1"/>
    <xf numFmtId="0" fontId="4" fillId="0" borderId="1" xfId="0" applyFont="1" applyBorder="1" applyAlignment="1"/>
    <xf numFmtId="165" fontId="2" fillId="0" borderId="0" xfId="0" applyNumberFormat="1" applyFont="1" applyAlignment="1"/>
    <xf numFmtId="175" fontId="2" fillId="0" borderId="0" xfId="0" applyNumberFormat="1" applyFont="1" applyAlignment="1"/>
    <xf numFmtId="7" fontId="6" fillId="0" borderId="0" xfId="0" applyNumberFormat="1" applyFont="1" applyAlignment="1" applyProtection="1">
      <protection locked="0"/>
    </xf>
    <xf numFmtId="0" fontId="28" fillId="0" borderId="0" xfId="0" applyFont="1">
      <alignment vertical="top"/>
    </xf>
    <xf numFmtId="5" fontId="6" fillId="0" borderId="0" xfId="0" applyNumberFormat="1" applyFont="1" applyAlignment="1"/>
    <xf numFmtId="0" fontId="15" fillId="0" borderId="0" xfId="0" applyFont="1" applyAlignment="1"/>
    <xf numFmtId="3" fontId="3" fillId="0" borderId="0" xfId="0" applyNumberFormat="1" applyFont="1" applyAlignment="1"/>
    <xf numFmtId="0" fontId="37" fillId="0" borderId="0" xfId="0" applyFont="1" applyAlignment="1">
      <alignment horizontal="left"/>
    </xf>
    <xf numFmtId="0" fontId="5" fillId="0" borderId="0" xfId="0" applyFont="1" applyAlignment="1">
      <alignment horizontal="center"/>
    </xf>
    <xf numFmtId="173" fontId="2" fillId="0" borderId="0" xfId="0" applyNumberFormat="1" applyFont="1" applyAlignment="1"/>
    <xf numFmtId="169" fontId="6" fillId="0" borderId="0" xfId="0" applyNumberFormat="1" applyFont="1" applyAlignment="1"/>
    <xf numFmtId="169" fontId="3" fillId="0" borderId="0" xfId="0" applyNumberFormat="1" applyFont="1" applyAlignment="1"/>
    <xf numFmtId="0" fontId="2" fillId="0" borderId="0" xfId="0" applyFont="1" applyAlignment="1">
      <alignment horizontal="left"/>
    </xf>
    <xf numFmtId="175" fontId="3" fillId="0" borderId="0" xfId="0" applyNumberFormat="1" applyFont="1" applyAlignment="1"/>
    <xf numFmtId="5" fontId="1" fillId="0" borderId="0" xfId="0" applyNumberFormat="1" applyFont="1" applyAlignment="1"/>
    <xf numFmtId="0" fontId="6" fillId="0" borderId="0" xfId="0" applyFont="1" applyAlignment="1" applyProtection="1">
      <protection locked="0"/>
    </xf>
    <xf numFmtId="164" fontId="3" fillId="0" borderId="0" xfId="2" applyNumberFormat="1" applyFont="1">
      <alignment horizontal="right" vertical="justify"/>
    </xf>
    <xf numFmtId="164" fontId="5" fillId="0" borderId="0" xfId="2" applyNumberFormat="1" applyFont="1">
      <alignment horizontal="right" vertical="justify"/>
    </xf>
    <xf numFmtId="9" fontId="6" fillId="0" borderId="0" xfId="0" applyNumberFormat="1" applyFont="1" applyAlignment="1" applyProtection="1">
      <protection locked="0"/>
    </xf>
    <xf numFmtId="0" fontId="6" fillId="0" borderId="0" xfId="0" applyFont="1" applyAlignment="1" applyProtection="1">
      <alignment horizontal="center"/>
      <protection locked="0"/>
    </xf>
    <xf numFmtId="9" fontId="6" fillId="0" borderId="0" xfId="0" applyNumberFormat="1" applyFont="1" applyAlignment="1" applyProtection="1">
      <alignment horizontal="center"/>
      <protection locked="0"/>
    </xf>
    <xf numFmtId="167" fontId="6" fillId="0" borderId="0" xfId="0" applyNumberFormat="1" applyFont="1" applyAlignment="1" applyProtection="1">
      <protection locked="0"/>
    </xf>
    <xf numFmtId="168" fontId="6" fillId="0" borderId="0" xfId="0" applyNumberFormat="1" applyFont="1" applyAlignment="1" applyProtection="1">
      <protection locked="0"/>
    </xf>
    <xf numFmtId="165" fontId="7" fillId="0" borderId="0" xfId="2" applyFont="1" applyProtection="1">
      <alignment horizontal="right" vertical="justify"/>
      <protection locked="0"/>
    </xf>
    <xf numFmtId="7" fontId="7" fillId="0" borderId="0" xfId="0" applyNumberFormat="1" applyFont="1" applyAlignment="1" applyProtection="1">
      <protection locked="0"/>
    </xf>
    <xf numFmtId="164" fontId="7" fillId="0" borderId="0" xfId="2" applyNumberFormat="1" applyFont="1" applyProtection="1">
      <alignment horizontal="right" vertical="justify"/>
      <protection locked="0"/>
    </xf>
    <xf numFmtId="168" fontId="5" fillId="0" borderId="0" xfId="6" applyFont="1">
      <alignment vertical="top"/>
    </xf>
    <xf numFmtId="0" fontId="5" fillId="0" borderId="0" xfId="3" applyFont="1" applyAlignment="1">
      <alignment horizontal="center"/>
    </xf>
    <xf numFmtId="0" fontId="37" fillId="0" borderId="0" xfId="0" applyFont="1" applyAlignment="1">
      <alignment horizontal="right"/>
    </xf>
    <xf numFmtId="5" fontId="3" fillId="0" borderId="5" xfId="0" applyNumberFormat="1" applyFont="1" applyBorder="1" applyAlignment="1"/>
    <xf numFmtId="3" fontId="6" fillId="0" borderId="0" xfId="0" applyNumberFormat="1" applyFont="1" applyAlignment="1" applyProtection="1">
      <protection locked="0"/>
    </xf>
    <xf numFmtId="168" fontId="2" fillId="0" borderId="0" xfId="2" applyNumberFormat="1">
      <alignment horizontal="right" vertical="justify"/>
    </xf>
    <xf numFmtId="0" fontId="2" fillId="0" borderId="0" xfId="2" applyNumberFormat="1">
      <alignment horizontal="right" vertical="justify"/>
    </xf>
    <xf numFmtId="169" fontId="3" fillId="0" borderId="0" xfId="2" applyNumberFormat="1" applyFont="1">
      <alignment horizontal="right" vertical="justify"/>
    </xf>
    <xf numFmtId="2" fontId="6" fillId="0" borderId="0" xfId="0" applyNumberFormat="1" applyFont="1" applyAlignment="1" applyProtection="1">
      <alignment horizontal="center"/>
      <protection locked="0"/>
    </xf>
    <xf numFmtId="0" fontId="14" fillId="0" borderId="0" xfId="3" applyFont="1" applyAlignment="1"/>
    <xf numFmtId="10" fontId="6" fillId="0" borderId="0" xfId="0" applyNumberFormat="1" applyFont="1" applyAlignment="1" applyProtection="1">
      <protection locked="0"/>
    </xf>
    <xf numFmtId="175" fontId="6" fillId="0" borderId="0" xfId="0" applyNumberFormat="1" applyFont="1" applyAlignment="1" applyProtection="1">
      <protection locked="0"/>
    </xf>
    <xf numFmtId="0" fontId="22" fillId="0" borderId="0" xfId="0" applyFont="1" applyAlignment="1">
      <alignment wrapText="1"/>
    </xf>
    <xf numFmtId="0" fontId="2" fillId="0" borderId="0" xfId="0" applyFont="1" applyAlignment="1">
      <alignment wrapText="1"/>
    </xf>
    <xf numFmtId="168" fontId="9" fillId="0" borderId="0" xfId="6" applyFont="1">
      <alignment vertical="top"/>
    </xf>
    <xf numFmtId="168" fontId="9" fillId="0" borderId="0" xfId="6" applyFont="1" applyAlignment="1">
      <alignment vertical="top" wrapText="1"/>
    </xf>
    <xf numFmtId="3" fontId="9" fillId="0" borderId="0" xfId="0" applyNumberFormat="1" applyFont="1">
      <alignment vertical="top"/>
    </xf>
    <xf numFmtId="10" fontId="2" fillId="0" borderId="0" xfId="0" applyNumberFormat="1" applyFont="1" applyAlignment="1"/>
    <xf numFmtId="168" fontId="2" fillId="0" borderId="0" xfId="6" applyAlignment="1">
      <alignment horizontal="left" vertical="top" wrapText="1"/>
    </xf>
    <xf numFmtId="3" fontId="2" fillId="0" borderId="0" xfId="4" applyNumberFormat="1" applyAlignment="1"/>
    <xf numFmtId="9" fontId="2" fillId="0" borderId="0" xfId="4" applyNumberFormat="1" applyAlignment="1"/>
    <xf numFmtId="3" fontId="3" fillId="0" borderId="0" xfId="4" applyNumberFormat="1" applyFont="1" applyAlignment="1"/>
    <xf numFmtId="0" fontId="3" fillId="0" borderId="0" xfId="5" applyFont="1" applyAlignment="1"/>
    <xf numFmtId="0" fontId="9" fillId="0" borderId="0" xfId="5" applyFont="1" applyAlignment="1"/>
    <xf numFmtId="0" fontId="3" fillId="0" borderId="1" xfId="5" applyFont="1" applyBorder="1" applyAlignment="1">
      <alignment horizontal="center" wrapText="1"/>
    </xf>
    <xf numFmtId="0" fontId="2" fillId="0" borderId="1" xfId="5" applyFont="1" applyBorder="1" applyAlignment="1"/>
    <xf numFmtId="0" fontId="3" fillId="0" borderId="0" xfId="5" applyFont="1" applyAlignment="1">
      <alignment horizontal="center" wrapText="1"/>
    </xf>
    <xf numFmtId="0" fontId="30" fillId="0" borderId="0" xfId="5" applyFont="1" applyAlignment="1">
      <alignment horizontal="center" wrapText="1"/>
    </xf>
    <xf numFmtId="0" fontId="14" fillId="0" borderId="1" xfId="5" applyFont="1" applyBorder="1" applyAlignment="1">
      <alignment horizontal="center" wrapText="1"/>
    </xf>
    <xf numFmtId="7" fontId="2" fillId="0" borderId="0" xfId="5" applyNumberFormat="1" applyFont="1" applyAlignment="1">
      <alignment horizontal="center"/>
    </xf>
    <xf numFmtId="9" fontId="2" fillId="0" borderId="0" xfId="5" applyNumberFormat="1" applyFont="1" applyAlignment="1">
      <alignment horizontal="center"/>
    </xf>
    <xf numFmtId="10" fontId="2" fillId="0" borderId="0" xfId="4" applyNumberFormat="1" applyAlignment="1"/>
    <xf numFmtId="167" fontId="2" fillId="0" borderId="0" xfId="4" applyNumberFormat="1" applyAlignment="1"/>
    <xf numFmtId="0" fontId="38" fillId="0" borderId="0" xfId="5" applyFont="1" applyAlignment="1">
      <alignment horizontal="center"/>
    </xf>
    <xf numFmtId="178" fontId="3" fillId="0" borderId="0" xfId="0" applyNumberFormat="1" applyFont="1" applyAlignment="1"/>
    <xf numFmtId="179" fontId="2" fillId="0" borderId="0" xfId="0" applyNumberFormat="1" applyFont="1" applyAlignment="1"/>
    <xf numFmtId="168" fontId="2" fillId="0" borderId="0" xfId="6" applyAlignment="1">
      <alignment vertical="top" wrapText="1"/>
    </xf>
    <xf numFmtId="0" fontId="3" fillId="4" borderId="6" xfId="3" applyFont="1" applyFill="1" applyBorder="1" applyAlignment="1">
      <alignment horizontal="center"/>
    </xf>
    <xf numFmtId="0" fontId="2" fillId="5" borderId="0" xfId="3" applyFont="1" applyFill="1" applyAlignment="1"/>
    <xf numFmtId="0" fontId="3" fillId="5" borderId="0" xfId="3" applyFont="1" applyFill="1" applyAlignment="1"/>
    <xf numFmtId="0" fontId="9" fillId="0" borderId="0" xfId="3" applyFont="1" applyAlignment="1">
      <alignment horizontal="center"/>
    </xf>
    <xf numFmtId="0" fontId="2" fillId="0" borderId="0" xfId="3" applyFont="1" applyAlignment="1">
      <alignment horizontal="center"/>
    </xf>
    <xf numFmtId="0" fontId="3" fillId="4" borderId="0" xfId="3" applyFont="1" applyFill="1" applyAlignment="1">
      <alignment horizontal="center"/>
    </xf>
    <xf numFmtId="0" fontId="25" fillId="0" borderId="0" xfId="3" applyAlignment="1">
      <alignment horizontal="center" wrapText="1"/>
    </xf>
    <xf numFmtId="0" fontId="30" fillId="0" borderId="0" xfId="3" applyFont="1" applyAlignment="1">
      <alignment horizontal="center" wrapText="1"/>
    </xf>
    <xf numFmtId="9" fontId="30" fillId="0" borderId="0" xfId="3" applyNumberFormat="1" applyFont="1" applyAlignment="1">
      <alignment horizontal="center"/>
    </xf>
    <xf numFmtId="0" fontId="22" fillId="6" borderId="0" xfId="3" applyFont="1" applyFill="1" applyAlignment="1">
      <alignment horizontal="left" vertical="top"/>
    </xf>
    <xf numFmtId="7" fontId="2" fillId="6" borderId="0" xfId="3" applyNumberFormat="1" applyFont="1" applyFill="1" applyAlignment="1"/>
    <xf numFmtId="0" fontId="2" fillId="6" borderId="0" xfId="3" applyFont="1" applyFill="1" applyAlignment="1"/>
    <xf numFmtId="0" fontId="3" fillId="6" borderId="0" xfId="3" applyFont="1" applyFill="1" applyAlignment="1"/>
    <xf numFmtId="168" fontId="3" fillId="6" borderId="0" xfId="3" applyNumberFormat="1" applyFont="1" applyFill="1" applyAlignment="1"/>
    <xf numFmtId="168" fontId="2" fillId="6" borderId="0" xfId="3" applyNumberFormat="1" applyFont="1" applyFill="1" applyAlignment="1"/>
    <xf numFmtId="0" fontId="37" fillId="6" borderId="0" xfId="3" applyFont="1" applyFill="1" applyAlignment="1"/>
    <xf numFmtId="170" fontId="2" fillId="6" borderId="0" xfId="3" applyNumberFormat="1" applyFont="1" applyFill="1" applyAlignment="1"/>
    <xf numFmtId="167" fontId="2" fillId="6" borderId="0" xfId="3" applyNumberFormat="1" applyFont="1" applyFill="1" applyAlignment="1"/>
    <xf numFmtId="10" fontId="2" fillId="6" borderId="0" xfId="3" applyNumberFormat="1" applyFont="1" applyFill="1" applyAlignment="1"/>
    <xf numFmtId="0" fontId="9" fillId="6" borderId="0" xfId="3" applyFont="1" applyFill="1" applyAlignment="1"/>
    <xf numFmtId="165" fontId="2" fillId="6" borderId="0" xfId="3" applyNumberFormat="1" applyFont="1" applyFill="1" applyAlignment="1"/>
    <xf numFmtId="10" fontId="2" fillId="0" borderId="0" xfId="3" applyNumberFormat="1" applyFont="1" applyAlignment="1"/>
    <xf numFmtId="168" fontId="9" fillId="6" borderId="0" xfId="3" applyNumberFormat="1" applyFont="1" applyFill="1" applyAlignment="1"/>
    <xf numFmtId="10" fontId="9" fillId="6" borderId="0" xfId="3" applyNumberFormat="1" applyFont="1" applyFill="1" applyAlignment="1"/>
    <xf numFmtId="0" fontId="3" fillId="0" borderId="1" xfId="3" applyFont="1" applyBorder="1" applyAlignment="1">
      <alignment horizontal="center"/>
    </xf>
    <xf numFmtId="0" fontId="2" fillId="0" borderId="1" xfId="3" applyFont="1" applyBorder="1" applyAlignment="1"/>
    <xf numFmtId="0" fontId="3" fillId="0" borderId="1" xfId="3" applyFont="1" applyBorder="1" applyAlignment="1">
      <alignment horizontal="center" wrapText="1"/>
    </xf>
    <xf numFmtId="0" fontId="14" fillId="0" borderId="1" xfId="3" applyFont="1" applyBorder="1" applyAlignment="1">
      <alignment horizontal="center" wrapText="1"/>
    </xf>
    <xf numFmtId="0" fontId="4" fillId="0" borderId="1" xfId="3" applyFont="1" applyBorder="1" applyAlignment="1"/>
    <xf numFmtId="0" fontId="3" fillId="6" borderId="1" xfId="3" applyFont="1" applyFill="1" applyBorder="1" applyAlignment="1">
      <alignment horizontal="center" wrapText="1"/>
    </xf>
    <xf numFmtId="0" fontId="3" fillId="0" borderId="0" xfId="3" applyFont="1" applyAlignment="1">
      <alignment horizontal="center" wrapText="1"/>
    </xf>
    <xf numFmtId="0" fontId="30" fillId="0" borderId="1" xfId="3" applyFont="1" applyBorder="1" applyAlignment="1">
      <alignment horizontal="center" wrapText="1"/>
    </xf>
    <xf numFmtId="9" fontId="30" fillId="0" borderId="1" xfId="3" applyNumberFormat="1" applyFont="1" applyBorder="1" applyAlignment="1">
      <alignment horizontal="center" wrapText="1"/>
    </xf>
    <xf numFmtId="7" fontId="2" fillId="0" borderId="0" xfId="3" applyNumberFormat="1" applyFont="1" applyAlignment="1">
      <alignment horizontal="center"/>
    </xf>
    <xf numFmtId="176" fontId="2" fillId="0" borderId="0" xfId="3" applyNumberFormat="1" applyFont="1" applyAlignment="1">
      <alignment horizontal="center"/>
    </xf>
    <xf numFmtId="167" fontId="2" fillId="0" borderId="0" xfId="3" applyNumberFormat="1" applyFont="1" applyAlignment="1">
      <alignment horizontal="center"/>
    </xf>
    <xf numFmtId="168" fontId="2" fillId="0" borderId="0" xfId="3" applyNumberFormat="1" applyFont="1" applyAlignment="1">
      <alignment horizontal="center"/>
    </xf>
    <xf numFmtId="180" fontId="2" fillId="0" borderId="0" xfId="3" applyNumberFormat="1" applyFont="1" applyAlignment="1">
      <alignment horizontal="center"/>
    </xf>
    <xf numFmtId="5" fontId="2" fillId="0" borderId="0" xfId="3" applyNumberFormat="1" applyFont="1" applyAlignment="1">
      <alignment horizontal="center"/>
    </xf>
    <xf numFmtId="9" fontId="2" fillId="0" borderId="0" xfId="3" applyNumberFormat="1" applyFont="1" applyAlignment="1">
      <alignment horizontal="center"/>
    </xf>
    <xf numFmtId="10" fontId="2" fillId="0" borderId="0" xfId="3" applyNumberFormat="1" applyFont="1" applyAlignment="1">
      <alignment horizontal="center"/>
    </xf>
    <xf numFmtId="180" fontId="9" fillId="6" borderId="0" xfId="3" applyNumberFormat="1" applyFont="1" applyFill="1" applyAlignment="1"/>
    <xf numFmtId="9" fontId="9" fillId="0" borderId="0" xfId="3" applyNumberFormat="1" applyFont="1" applyAlignment="1"/>
    <xf numFmtId="0" fontId="25" fillId="0" borderId="0" xfId="3" applyAlignment="1"/>
    <xf numFmtId="7" fontId="34" fillId="0" borderId="0" xfId="3" applyNumberFormat="1" applyFont="1" applyAlignment="1" applyProtection="1">
      <alignment horizontal="center"/>
      <protection locked="0"/>
    </xf>
    <xf numFmtId="7" fontId="32" fillId="0" borderId="0" xfId="3" applyNumberFormat="1" applyFont="1" applyAlignment="1"/>
    <xf numFmtId="7" fontId="25" fillId="0" borderId="0" xfId="3" applyNumberFormat="1" applyAlignment="1"/>
    <xf numFmtId="0" fontId="36" fillId="0" borderId="0" xfId="3" applyFont="1" applyAlignment="1"/>
    <xf numFmtId="0" fontId="3" fillId="6" borderId="0" xfId="3" applyFont="1" applyFill="1" applyAlignment="1">
      <alignment horizontal="center"/>
    </xf>
    <xf numFmtId="0" fontId="36" fillId="0" borderId="0" xfId="3" applyFont="1" applyAlignment="1">
      <alignment horizontal="left"/>
    </xf>
    <xf numFmtId="0" fontId="36" fillId="0" borderId="1" xfId="3" applyFont="1" applyBorder="1" applyAlignment="1"/>
    <xf numFmtId="7" fontId="2" fillId="0" borderId="0" xfId="3" applyNumberFormat="1" applyFont="1" applyAlignment="1" applyProtection="1">
      <alignment horizontal="center"/>
      <protection locked="0"/>
    </xf>
    <xf numFmtId="0" fontId="36" fillId="0" borderId="1" xfId="3" applyFont="1" applyBorder="1" applyAlignment="1">
      <alignment horizontal="center"/>
    </xf>
    <xf numFmtId="0" fontId="3" fillId="0" borderId="0" xfId="3" applyFont="1" applyAlignment="1">
      <alignment horizontal="left"/>
    </xf>
    <xf numFmtId="0" fontId="34" fillId="0" borderId="0" xfId="3" applyFont="1" applyAlignment="1">
      <alignment horizontal="center"/>
    </xf>
    <xf numFmtId="170" fontId="39" fillId="0" borderId="0" xfId="3" applyNumberFormat="1" applyFont="1" applyAlignment="1"/>
    <xf numFmtId="171" fontId="36" fillId="0" borderId="0" xfId="3" applyNumberFormat="1" applyFont="1" applyAlignment="1"/>
    <xf numFmtId="168" fontId="2" fillId="0" borderId="0" xfId="3" applyNumberFormat="1" applyFont="1" applyAlignment="1"/>
    <xf numFmtId="9" fontId="2" fillId="0" borderId="0" xfId="3" applyNumberFormat="1" applyFont="1" applyAlignment="1"/>
    <xf numFmtId="0" fontId="9" fillId="0" borderId="0" xfId="0" applyFont="1" applyAlignment="1"/>
    <xf numFmtId="0" fontId="31" fillId="0" borderId="0" xfId="0" applyFont="1" applyAlignment="1"/>
    <xf numFmtId="9" fontId="3" fillId="0" borderId="0" xfId="0" applyNumberFormat="1" applyFont="1" applyAlignment="1"/>
    <xf numFmtId="0" fontId="2" fillId="0" borderId="0" xfId="5" applyFont="1" applyAlignment="1"/>
    <xf numFmtId="0" fontId="14" fillId="0" borderId="0" xfId="5" applyFont="1" applyAlignment="1">
      <alignment horizontal="center" wrapText="1"/>
    </xf>
    <xf numFmtId="9" fontId="2" fillId="0" borderId="0" xfId="5" applyNumberFormat="1" applyFont="1" applyAlignment="1">
      <alignment horizontal="center" wrapText="1"/>
    </xf>
    <xf numFmtId="168" fontId="2" fillId="0" borderId="0" xfId="5" applyNumberFormat="1" applyFont="1" applyAlignment="1">
      <alignment horizontal="center" wrapText="1"/>
    </xf>
    <xf numFmtId="167" fontId="2" fillId="0" borderId="0" xfId="5" applyNumberFormat="1" applyFont="1" applyAlignment="1">
      <alignment horizontal="center" wrapText="1"/>
    </xf>
    <xf numFmtId="9" fontId="2" fillId="0" borderId="0" xfId="4" applyNumberFormat="1" applyAlignment="1">
      <alignment horizontal="center"/>
    </xf>
    <xf numFmtId="3" fontId="2" fillId="0" borderId="0" xfId="4" applyNumberFormat="1" applyAlignment="1">
      <alignment wrapText="1"/>
    </xf>
    <xf numFmtId="3" fontId="3" fillId="0" borderId="0" xfId="4" applyNumberFormat="1" applyFont="1" applyAlignment="1">
      <alignment wrapText="1"/>
    </xf>
    <xf numFmtId="168" fontId="2" fillId="0" borderId="0" xfId="4" applyNumberFormat="1" applyAlignment="1"/>
    <xf numFmtId="168" fontId="2" fillId="6" borderId="0" xfId="5" applyNumberFormat="1" applyFont="1" applyFill="1" applyAlignment="1">
      <alignment horizontal="center" wrapText="1"/>
    </xf>
    <xf numFmtId="169" fontId="2" fillId="0" borderId="0" xfId="4" applyNumberFormat="1" applyAlignment="1"/>
    <xf numFmtId="3" fontId="2" fillId="0" borderId="0" xfId="4" applyNumberFormat="1" applyAlignment="1">
      <alignment horizontal="center" wrapText="1"/>
    </xf>
    <xf numFmtId="3" fontId="3" fillId="0" borderId="1" xfId="4" applyNumberFormat="1" applyFont="1" applyBorder="1" applyAlignment="1">
      <alignment horizontal="center" wrapText="1"/>
    </xf>
    <xf numFmtId="0" fontId="2" fillId="0" borderId="0" xfId="3" applyFont="1" applyAlignment="1">
      <alignment wrapText="1"/>
    </xf>
    <xf numFmtId="3" fontId="2" fillId="0" borderId="0" xfId="5" applyNumberFormat="1" applyFont="1" applyAlignment="1"/>
    <xf numFmtId="169" fontId="2" fillId="0" borderId="0" xfId="3" applyNumberFormat="1" applyFont="1" applyAlignment="1"/>
    <xf numFmtId="169" fontId="2" fillId="6" borderId="0" xfId="3" applyNumberFormat="1" applyFont="1" applyFill="1" applyAlignment="1"/>
    <xf numFmtId="0" fontId="40" fillId="0" borderId="0" xfId="0" applyFont="1" applyAlignment="1" applyProtection="1">
      <protection locked="0"/>
    </xf>
    <xf numFmtId="0" fontId="36" fillId="0" borderId="0" xfId="0" applyFont="1" applyAlignment="1">
      <alignment horizontal="right"/>
    </xf>
    <xf numFmtId="0" fontId="2" fillId="0" borderId="0" xfId="0" applyFont="1" applyAlignment="1">
      <alignment horizontal="left" vertical="center" wrapText="1"/>
    </xf>
    <xf numFmtId="0" fontId="2" fillId="0" borderId="1" xfId="0" applyFont="1" applyBorder="1" applyAlignment="1">
      <alignment horizontal="left" vertical="center" wrapText="1"/>
    </xf>
    <xf numFmtId="181" fontId="1" fillId="0" borderId="0" xfId="0" applyNumberFormat="1" applyFont="1" applyAlignment="1"/>
    <xf numFmtId="168" fontId="9" fillId="0" borderId="0" xfId="6" applyFont="1" applyAlignment="1">
      <alignment vertical="center"/>
    </xf>
    <xf numFmtId="168" fontId="14" fillId="0" borderId="0" xfId="6" applyFont="1" applyAlignment="1">
      <alignment horizontal="left" vertical="top" wrapText="1"/>
    </xf>
    <xf numFmtId="168" fontId="16" fillId="0" borderId="0" xfId="6" applyFont="1" applyAlignment="1">
      <alignment horizontal="center" vertical="center" wrapText="1"/>
    </xf>
    <xf numFmtId="0" fontId="17" fillId="0" borderId="0" xfId="0" applyFont="1" applyAlignment="1">
      <alignment horizontal="center" vertical="center" wrapText="1"/>
    </xf>
    <xf numFmtId="0" fontId="18" fillId="0" borderId="0" xfId="6" applyNumberFormat="1" applyFont="1" applyAlignment="1">
      <alignment horizontal="center" vertical="center" wrapText="1"/>
    </xf>
    <xf numFmtId="0" fontId="19" fillId="0" borderId="0" xfId="0" applyFont="1" applyAlignment="1">
      <alignment horizontal="center" vertical="center" wrapText="1"/>
    </xf>
    <xf numFmtId="168" fontId="20" fillId="0" borderId="0" xfId="6" applyFont="1" applyAlignment="1">
      <alignment horizontal="center" vertical="center" wrapText="1"/>
    </xf>
    <xf numFmtId="0" fontId="21" fillId="0" borderId="0" xfId="0" applyFont="1" applyAlignment="1">
      <alignment wrapText="1"/>
    </xf>
    <xf numFmtId="168" fontId="9" fillId="0" borderId="0" xfId="6" applyFont="1" applyAlignment="1">
      <alignment horizontal="left" vertical="top" wrapText="1"/>
    </xf>
    <xf numFmtId="0" fontId="41" fillId="2" borderId="0" xfId="0" applyFont="1" applyFill="1" applyAlignment="1">
      <alignment horizontal="center" vertical="center" wrapText="1"/>
    </xf>
    <xf numFmtId="0" fontId="33" fillId="2" borderId="0" xfId="0" applyFont="1" applyFill="1" applyAlignment="1">
      <alignment horizontal="center" vertical="center" wrapText="1"/>
    </xf>
    <xf numFmtId="168" fontId="2" fillId="0" borderId="0" xfId="6" applyAlignment="1">
      <alignment horizontal="left" vertical="top" wrapText="1"/>
    </xf>
    <xf numFmtId="0" fontId="3" fillId="0" borderId="7" xfId="0" applyFont="1" applyBorder="1" applyAlignment="1">
      <alignment horizontal="center"/>
    </xf>
    <xf numFmtId="0" fontId="41" fillId="2" borderId="0" xfId="3" applyFont="1" applyFill="1" applyAlignment="1">
      <alignment horizontal="center"/>
    </xf>
    <xf numFmtId="0" fontId="3" fillId="0" borderId="1" xfId="3" applyFont="1" applyBorder="1" applyAlignment="1">
      <alignment horizontal="center"/>
    </xf>
    <xf numFmtId="2" fontId="2" fillId="0" borderId="0" xfId="0" applyNumberFormat="1" applyFont="1" applyAlignment="1">
      <alignment vertical="top" wrapText="1"/>
    </xf>
    <xf numFmtId="0" fontId="0" fillId="0" borderId="0" xfId="0" applyAlignment="1">
      <alignment vertical="top" wrapText="1"/>
    </xf>
    <xf numFmtId="49" fontId="2" fillId="0" borderId="0" xfId="0" applyNumberFormat="1" applyFont="1" applyAlignment="1">
      <alignment vertical="top" wrapText="1"/>
    </xf>
    <xf numFmtId="0" fontId="5"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9" fillId="0" borderId="0" xfId="0" applyFont="1" applyAlignment="1">
      <alignment horizontal="center"/>
    </xf>
    <xf numFmtId="49" fontId="2" fillId="0" borderId="0" xfId="0" applyNumberFormat="1" applyFont="1" applyAlignment="1">
      <alignment horizontal="left" vertical="top" wrapText="1"/>
    </xf>
    <xf numFmtId="0" fontId="0" fillId="0" borderId="0" xfId="0" applyAlignment="1">
      <alignment horizontal="left" vertical="top" wrapText="1"/>
    </xf>
    <xf numFmtId="0" fontId="2" fillId="0" borderId="0" xfId="0" applyFont="1" applyAlignment="1">
      <alignment vertical="top" wrapText="1"/>
    </xf>
    <xf numFmtId="0" fontId="41" fillId="2" borderId="0" xfId="0" applyFont="1" applyFill="1" applyAlignment="1">
      <alignment horizontal="center"/>
    </xf>
    <xf numFmtId="0" fontId="42" fillId="2" borderId="0" xfId="0" applyFont="1" applyFill="1" applyAlignment="1">
      <alignment horizontal="center"/>
    </xf>
    <xf numFmtId="0" fontId="42" fillId="2" borderId="0" xfId="0" applyFont="1" applyFill="1" applyAlignment="1">
      <alignment horizontal="center" vertical="center" wrapText="1"/>
    </xf>
    <xf numFmtId="0" fontId="2" fillId="0" borderId="0" xfId="0" applyFont="1" applyAlignment="1">
      <alignment horizontal="center" wrapText="1"/>
    </xf>
    <xf numFmtId="0" fontId="2" fillId="0" borderId="1"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left" vertical="center" wrapText="1"/>
    </xf>
    <xf numFmtId="0" fontId="11" fillId="0" borderId="0" xfId="0" applyFont="1" applyAlignment="1">
      <alignment horizontal="left"/>
    </xf>
    <xf numFmtId="0" fontId="12" fillId="0" borderId="0" xfId="0" applyFont="1" applyAlignment="1">
      <alignment horizontal="left"/>
    </xf>
    <xf numFmtId="164" fontId="3" fillId="0" borderId="0" xfId="2" applyNumberFormat="1" applyFont="1">
      <alignment horizontal="right" vertical="justify"/>
    </xf>
    <xf numFmtId="0" fontId="5" fillId="0" borderId="0" xfId="0" applyFont="1" applyAlignment="1">
      <alignment horizontal="center"/>
    </xf>
  </cellXfs>
  <cellStyles count="7">
    <cellStyle name="Curr (1,234.00) L Black" xfId="1" xr:uid="{00000000-0005-0000-0000-000000000000}"/>
    <cellStyle name="Currency" xfId="2" builtinId="4"/>
    <cellStyle name="Normal" xfId="0" builtinId="0"/>
    <cellStyle name="Normal 2" xfId="3" xr:uid="{00000000-0005-0000-0000-000003000000}"/>
    <cellStyle name="Normal 3" xfId="4" xr:uid="{00000000-0005-0000-0000-000004000000}"/>
    <cellStyle name="Normal 4" xfId="5" xr:uid="{00000000-0005-0000-0000-000005000000}"/>
    <cellStyle name="Normal_Farrow-Wean 500" xfId="6" xr:uid="{00000000-0005-0000-0000-000006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'Chart data (HIDE)'!$A$5</c:f>
          <c:strCache>
            <c:ptCount val="1"/>
            <c:pt idx="0">
              <c:v>Manitoba - 80% Insured Value AgriInsurance Risk Analysis - 2022</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2209035682045252"/>
          <c:y val="0.10768409227157545"/>
          <c:w val="0.8024929564343013"/>
          <c:h val="0.6838405851859688"/>
        </c:manualLayout>
      </c:layout>
      <c:barChart>
        <c:barDir val="col"/>
        <c:grouping val="clustered"/>
        <c:varyColors val="0"/>
        <c:ser>
          <c:idx val="0"/>
          <c:order val="0"/>
          <c:tx>
            <c:strRef>
              <c:f>'Chart data (HIDE)'!$C$6</c:f>
              <c:strCache>
                <c:ptCount val="1"/>
                <c:pt idx="0">
                  <c:v>80% Insured Value</c:v>
                </c:pt>
              </c:strCache>
            </c:strRef>
          </c:tx>
          <c:spPr>
            <a:solidFill>
              <a:schemeClr val="accent1"/>
            </a:solidFill>
            <a:ln>
              <a:solidFill>
                <a:schemeClr val="tx1"/>
              </a:solidFill>
            </a:ln>
          </c:spPr>
          <c:invertIfNegative val="0"/>
          <c:cat>
            <c:strRef>
              <c:f>'Chart data (HIDE)'!$A$7:$A$13</c:f>
              <c:strCache>
                <c:ptCount val="7"/>
                <c:pt idx="0">
                  <c:v>Irrigated Potato</c:v>
                </c:pt>
                <c:pt idx="1">
                  <c:v>Canola</c:v>
                </c:pt>
                <c:pt idx="2">
                  <c:v>Wheat - Hard Red Spring</c:v>
                </c:pt>
                <c:pt idx="3">
                  <c:v>Soybeans</c:v>
                </c:pt>
                <c:pt idx="4">
                  <c:v>Barley</c:v>
                </c:pt>
                <c:pt idx="5">
                  <c:v>Oats</c:v>
                </c:pt>
                <c:pt idx="6">
                  <c:v>Corn</c:v>
                </c:pt>
              </c:strCache>
            </c:strRef>
          </c:cat>
          <c:val>
            <c:numRef>
              <c:f>'Chart data (HIDE)'!$C$7:$C$13</c:f>
              <c:numCache>
                <c:formatCode>"$"#,##0.00_);\("$"#,##0.00\)</c:formatCode>
                <c:ptCount val="7"/>
                <c:pt idx="0" formatCode="&quot;$&quot;#,##0.00">
                  <c:v>2638.62</c:v>
                </c:pt>
                <c:pt idx="1">
                  <c:v>330.42600000000004</c:v>
                </c:pt>
                <c:pt idx="2">
                  <c:v>273.99880000000002</c:v>
                </c:pt>
                <c:pt idx="3">
                  <c:v>282.65039999999999</c:v>
                </c:pt>
                <c:pt idx="4">
                  <c:v>219.15120000000002</c:v>
                </c:pt>
                <c:pt idx="5">
                  <c:v>262.596</c:v>
                </c:pt>
                <c:pt idx="6">
                  <c:v>345.94560000000001</c:v>
                </c:pt>
              </c:numCache>
            </c:numRef>
          </c:val>
          <c:extLst>
            <c:ext xmlns:c16="http://schemas.microsoft.com/office/drawing/2014/chart" uri="{C3380CC4-5D6E-409C-BE32-E72D297353CC}">
              <c16:uniqueId val="{00000000-238F-488E-8F46-46DBD4CF10A3}"/>
            </c:ext>
          </c:extLst>
        </c:ser>
        <c:dLbls>
          <c:showLegendKey val="0"/>
          <c:showVal val="0"/>
          <c:showCatName val="0"/>
          <c:showSerName val="0"/>
          <c:showPercent val="0"/>
          <c:showBubbleSize val="0"/>
        </c:dLbls>
        <c:gapWidth val="75"/>
        <c:axId val="111152296"/>
        <c:axId val="1"/>
      </c:barChart>
      <c:lineChart>
        <c:grouping val="standard"/>
        <c:varyColors val="0"/>
        <c:ser>
          <c:idx val="1"/>
          <c:order val="1"/>
          <c:tx>
            <c:strRef>
              <c:f>'Chart data (HIDE)'!$D$6</c:f>
              <c:strCache>
                <c:ptCount val="1"/>
                <c:pt idx="0">
                  <c:v>80% Coverage of Operating Costs</c:v>
                </c:pt>
              </c:strCache>
            </c:strRef>
          </c:tx>
          <c:spPr>
            <a:ln w="31750">
              <a:solidFill>
                <a:schemeClr val="tx1"/>
              </a:solidFill>
            </a:ln>
          </c:spPr>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data (HIDE)'!$D$7:$D$13</c:f>
              <c:numCache>
                <c:formatCode>0%</c:formatCode>
                <c:ptCount val="7"/>
                <c:pt idx="0">
                  <c:v>0.7468513318491582</c:v>
                </c:pt>
                <c:pt idx="1">
                  <c:v>1.3489504468430935</c:v>
                </c:pt>
                <c:pt idx="2">
                  <c:v>1.3735044488086421</c:v>
                </c:pt>
                <c:pt idx="3">
                  <c:v>1.3942896308438211</c:v>
                </c:pt>
                <c:pt idx="4">
                  <c:v>1.2285412758429628</c:v>
                </c:pt>
                <c:pt idx="5">
                  <c:v>1.6685899758520875</c:v>
                </c:pt>
                <c:pt idx="6">
                  <c:v>1.0238504395782462</c:v>
                </c:pt>
              </c:numCache>
            </c:numRef>
          </c:val>
          <c:smooth val="0"/>
          <c:extLst>
            <c:ext xmlns:c16="http://schemas.microsoft.com/office/drawing/2014/chart" uri="{C3380CC4-5D6E-409C-BE32-E72D297353CC}">
              <c16:uniqueId val="{00000001-238F-488E-8F46-46DBD4CF10A3}"/>
            </c:ext>
          </c:extLst>
        </c:ser>
        <c:ser>
          <c:idx val="2"/>
          <c:order val="2"/>
          <c:tx>
            <c:strRef>
              <c:f>'Chart data (HIDE)'!$E$4</c:f>
              <c:strCache>
                <c:ptCount val="1"/>
                <c:pt idx="0">
                  <c:v>80% Coverage of Total Costs</c:v>
                </c:pt>
              </c:strCache>
            </c:strRef>
          </c:tx>
          <c:spPr>
            <a:ln w="31750">
              <a:solidFill>
                <a:schemeClr val="tx1"/>
              </a:solidFill>
              <a:prstDash val="sysDash"/>
            </a:ln>
          </c:spP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data (HIDE)'!$E$7:$E$13</c:f>
              <c:numCache>
                <c:formatCode>0%</c:formatCode>
                <c:ptCount val="7"/>
                <c:pt idx="0">
                  <c:v>0.53553862690972776</c:v>
                </c:pt>
                <c:pt idx="1">
                  <c:v>0.80652696309969563</c:v>
                </c:pt>
                <c:pt idx="2">
                  <c:v>0.7479659788445403</c:v>
                </c:pt>
                <c:pt idx="3">
                  <c:v>0.76920144244573452</c:v>
                </c:pt>
                <c:pt idx="4">
                  <c:v>0.63022314994861917</c:v>
                </c:pt>
                <c:pt idx="5">
                  <c:v>0.79285775604886888</c:v>
                </c:pt>
                <c:pt idx="6">
                  <c:v>0.65910440941327797</c:v>
                </c:pt>
              </c:numCache>
            </c:numRef>
          </c:val>
          <c:smooth val="0"/>
          <c:extLst>
            <c:ext xmlns:c16="http://schemas.microsoft.com/office/drawing/2014/chart" uri="{C3380CC4-5D6E-409C-BE32-E72D297353CC}">
              <c16:uniqueId val="{00000002-238F-488E-8F46-46DBD4CF10A3}"/>
            </c:ext>
          </c:extLst>
        </c:ser>
        <c:dLbls>
          <c:showLegendKey val="0"/>
          <c:showVal val="0"/>
          <c:showCatName val="0"/>
          <c:showSerName val="0"/>
          <c:showPercent val="0"/>
          <c:showBubbleSize val="0"/>
        </c:dLbls>
        <c:marker val="1"/>
        <c:smooth val="0"/>
        <c:axId val="3"/>
        <c:axId val="4"/>
      </c:lineChart>
      <c:catAx>
        <c:axId val="11115229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Per Acre</a:t>
                </a:r>
              </a:p>
            </c:rich>
          </c:tx>
          <c:overlay val="0"/>
        </c:title>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1152296"/>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95000"/>
          </a:schemeClr>
        </a:solidFill>
      </c:spPr>
    </c:plotArea>
    <c:legend>
      <c:legendPos val="r"/>
      <c:layout>
        <c:manualLayout>
          <c:xMode val="edge"/>
          <c:yMode val="edge"/>
          <c:x val="7.0991432068543456E-2"/>
          <c:y val="0.88483685220729369"/>
          <c:w val="0.89473735611689909"/>
          <c:h val="7.6775431861804244E-2"/>
        </c:manualLayout>
      </c:layout>
      <c:overlay val="0"/>
      <c:txPr>
        <a:bodyPr/>
        <a:lstStyle/>
        <a:p>
          <a:pPr>
            <a:defRPr sz="129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'Chart data (HIDE)'!$A$50</c:f>
          <c:strCache>
            <c:ptCount val="1"/>
            <c:pt idx="0">
              <c:v>Manitoba - Average Land Rent Calculation - 2022</c:v>
            </c:pt>
          </c:strCache>
        </c:strRef>
      </c:tx>
      <c:overlay val="0"/>
      <c:spPr>
        <a:solidFill>
          <a:sysClr val="window" lastClr="FFFFFF"/>
        </a:solidFill>
      </c:spPr>
      <c:txPr>
        <a:bodyPr/>
        <a:lstStyle/>
        <a:p>
          <a:pPr>
            <a:defRPr sz="20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64897809079047464"/>
        </c:manualLayout>
      </c:layout>
      <c:barChart>
        <c:barDir val="col"/>
        <c:grouping val="clustered"/>
        <c:varyColors val="0"/>
        <c:ser>
          <c:idx val="0"/>
          <c:order val="0"/>
          <c:tx>
            <c:strRef>
              <c:f>'Chart data (HIDE)'!$B$52</c:f>
              <c:strCache>
                <c:ptCount val="1"/>
                <c:pt idx="0">
                  <c:v>Maximum Available for Land Rent</c:v>
                </c:pt>
              </c:strCache>
            </c:strRef>
          </c:tx>
          <c:spPr>
            <a:solidFill>
              <a:schemeClr val="accent1"/>
            </a:solidFill>
            <a:ln>
              <a:solidFill>
                <a:schemeClr val="tx1"/>
              </a:soli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(HIDE)'!$A$53:$A$55</c:f>
              <c:strCache>
                <c:ptCount val="3"/>
                <c:pt idx="0">
                  <c:v>Canola</c:v>
                </c:pt>
                <c:pt idx="1">
                  <c:v>Wheat - Hard Red Spring</c:v>
                </c:pt>
                <c:pt idx="2">
                  <c:v>Soybeans</c:v>
                </c:pt>
              </c:strCache>
            </c:strRef>
          </c:cat>
          <c:val>
            <c:numRef>
              <c:f>'Chart data (HIDE)'!$B$53:$B$55</c:f>
              <c:numCache>
                <c:formatCode>"$"#,##0</c:formatCode>
                <c:ptCount val="3"/>
                <c:pt idx="0">
                  <c:v>104.99003907161904</c:v>
                </c:pt>
                <c:pt idx="1">
                  <c:v>75.104782343344027</c:v>
                </c:pt>
                <c:pt idx="2">
                  <c:v>117.22047067138675</c:v>
                </c:pt>
              </c:numCache>
            </c:numRef>
          </c:val>
          <c:extLst>
            <c:ext xmlns:c16="http://schemas.microsoft.com/office/drawing/2014/chart" uri="{C3380CC4-5D6E-409C-BE32-E72D297353CC}">
              <c16:uniqueId val="{00000000-8EBA-42B2-B41E-976E8E903A06}"/>
            </c:ext>
          </c:extLst>
        </c:ser>
        <c:dLbls>
          <c:showLegendKey val="0"/>
          <c:showVal val="0"/>
          <c:showCatName val="0"/>
          <c:showSerName val="0"/>
          <c:showPercent val="0"/>
          <c:showBubbleSize val="0"/>
        </c:dLbls>
        <c:gapWidth val="150"/>
        <c:axId val="225496680"/>
        <c:axId val="1"/>
      </c:barChart>
      <c:lineChart>
        <c:grouping val="standard"/>
        <c:varyColors val="0"/>
        <c:ser>
          <c:idx val="1"/>
          <c:order val="1"/>
          <c:tx>
            <c:strRef>
              <c:f>'Chart data (HIDE)'!$B$62</c:f>
              <c:strCache>
                <c:ptCount val="1"/>
                <c:pt idx="0">
                  <c:v>Avg. Max Available for Land Rent</c:v>
                </c:pt>
              </c:strCache>
            </c:strRef>
          </c:tx>
          <c:marker>
            <c:symbol val="none"/>
          </c:marker>
          <c:dLbls>
            <c:dLbl>
              <c:idx val="0"/>
              <c:layout>
                <c:manualLayout>
                  <c:x val="-6.2983678866739737E-2"/>
                  <c:y val="-1.0697229859674666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BA-42B2-B41E-976E8E903A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'Chart data (HIDE)'!$B$63:$B$65</c:f>
              <c:numCache>
                <c:formatCode>"$"#,##0</c:formatCode>
                <c:ptCount val="3"/>
                <c:pt idx="0">
                  <c:v>99.105097362116609</c:v>
                </c:pt>
                <c:pt idx="1">
                  <c:v>99.105097362116609</c:v>
                </c:pt>
                <c:pt idx="2">
                  <c:v>99.105097362116609</c:v>
                </c:pt>
              </c:numCache>
            </c:numRef>
          </c:val>
          <c:smooth val="0"/>
          <c:extLst>
            <c:ext xmlns:c16="http://schemas.microsoft.com/office/drawing/2014/chart" uri="{C3380CC4-5D6E-409C-BE32-E72D297353CC}">
              <c16:uniqueId val="{00000002-8EBA-42B2-B41E-976E8E903A06}"/>
            </c:ext>
          </c:extLst>
        </c:ser>
        <c:ser>
          <c:idx val="2"/>
          <c:order val="2"/>
          <c:tx>
            <c:strRef>
              <c:f>'Chart data (HIDE)'!$C$62</c:f>
              <c:strCache>
                <c:ptCount val="1"/>
                <c:pt idx="0">
                  <c:v>Avg. Rent = 18% Share</c:v>
                </c:pt>
              </c:strCache>
            </c:strRef>
          </c:tx>
          <c:spPr>
            <a:ln>
              <a:solidFill>
                <a:srgbClr val="00B050"/>
              </a:solidFill>
            </a:ln>
          </c:spPr>
          <c:marker>
            <c:symbol val="none"/>
          </c:marker>
          <c:dLbls>
            <c:dLbl>
              <c:idx val="0"/>
              <c:layout>
                <c:manualLayout>
                  <c:x val="-6.1177693204559444E-2"/>
                  <c:y val="1.069722985967461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BA-42B2-B41E-976E8E903A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'Chart data (HIDE)'!$C$63:$C$65</c:f>
              <c:numCache>
                <c:formatCode>"$"#,##0</c:formatCode>
                <c:ptCount val="3"/>
                <c:pt idx="0">
                  <c:v>74.804999999999993</c:v>
                </c:pt>
                <c:pt idx="1">
                  <c:v>74.804999999999993</c:v>
                </c:pt>
                <c:pt idx="2">
                  <c:v>74.804999999999993</c:v>
                </c:pt>
              </c:numCache>
            </c:numRef>
          </c:val>
          <c:smooth val="0"/>
          <c:extLst>
            <c:ext xmlns:c16="http://schemas.microsoft.com/office/drawing/2014/chart" uri="{C3380CC4-5D6E-409C-BE32-E72D297353CC}">
              <c16:uniqueId val="{00000004-8EBA-42B2-B41E-976E8E903A06}"/>
            </c:ext>
          </c:extLst>
        </c:ser>
        <c:ser>
          <c:idx val="3"/>
          <c:order val="3"/>
          <c:tx>
            <c:strRef>
              <c:f>'Chart data (HIDE)'!$F$62</c:f>
              <c:strCache>
                <c:ptCount val="1"/>
                <c:pt idx="0">
                  <c:v>Avg. Rent = 22% Share</c:v>
                </c:pt>
              </c:strCache>
            </c:strRef>
          </c:tx>
          <c:spPr>
            <a:ln>
              <a:solidFill>
                <a:schemeClr val="tx1"/>
              </a:solidFill>
            </a:ln>
          </c:spPr>
          <c:marker>
            <c:symbol val="none"/>
          </c:marker>
          <c:dLbls>
            <c:dLbl>
              <c:idx val="0"/>
              <c:layout>
                <c:manualLayout>
                  <c:x val="-6.2983678866739737E-2"/>
                  <c:y val="1.3371537324593331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BA-42B2-B41E-976E8E903A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'Chart data (HIDE)'!$F$63:$F$65</c:f>
              <c:numCache>
                <c:formatCode>"$"#,##0</c:formatCode>
                <c:ptCount val="3"/>
                <c:pt idx="0">
                  <c:v>91.428333333333327</c:v>
                </c:pt>
                <c:pt idx="1">
                  <c:v>91.428333333333327</c:v>
                </c:pt>
                <c:pt idx="2">
                  <c:v>91.428333333333327</c:v>
                </c:pt>
              </c:numCache>
            </c:numRef>
          </c:val>
          <c:smooth val="0"/>
          <c:extLst>
            <c:ext xmlns:c16="http://schemas.microsoft.com/office/drawing/2014/chart" uri="{C3380CC4-5D6E-409C-BE32-E72D297353CC}">
              <c16:uniqueId val="{00000006-8EBA-42B2-B41E-976E8E903A06}"/>
            </c:ext>
          </c:extLst>
        </c:ser>
        <c:dLbls>
          <c:showLegendKey val="0"/>
          <c:showVal val="0"/>
          <c:showCatName val="0"/>
          <c:showSerName val="0"/>
          <c:showPercent val="0"/>
          <c:showBubbleSize val="0"/>
        </c:dLbls>
        <c:marker val="1"/>
        <c:smooth val="0"/>
        <c:axId val="225496680"/>
        <c:axId val="1"/>
      </c:lineChart>
      <c:catAx>
        <c:axId val="225496680"/>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 </a:t>
                </a:r>
              </a:p>
            </c:rich>
          </c:tx>
          <c:overlay val="0"/>
        </c:title>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5496680"/>
        <c:crosses val="autoZero"/>
        <c:crossBetween val="between"/>
      </c:valAx>
      <c:spPr>
        <a:solidFill>
          <a:schemeClr val="bg1">
            <a:lumMod val="95000"/>
          </a:schemeClr>
        </a:solidFill>
      </c:spPr>
    </c:plotArea>
    <c:legend>
      <c:legendPos val="r"/>
      <c:layout>
        <c:manualLayout>
          <c:xMode val="edge"/>
          <c:yMode val="edge"/>
          <c:x val="7.4525887516093001E-2"/>
          <c:y val="0.86172428847195703"/>
          <c:w val="0.73035329933351822"/>
          <c:h val="9.6192384769539063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(HIDE)'!$A$34</c:f>
          <c:strCache>
            <c:ptCount val="1"/>
            <c:pt idx="0">
              <c:v>Manitoba - Monetizing Risk &amp; Reward ($/unit) - 2022</c:v>
            </c:pt>
          </c:strCache>
        </c:strRef>
      </c:tx>
      <c:overlay val="0"/>
      <c:txPr>
        <a:bodyPr/>
        <a:lstStyle/>
        <a:p>
          <a:pPr>
            <a:defRPr sz="18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341150864032958"/>
          <c:y val="9.842703872542248E-2"/>
          <c:w val="0.84554592799286032"/>
          <c:h val="0.64512685914260715"/>
        </c:manualLayout>
      </c:layout>
      <c:barChart>
        <c:barDir val="col"/>
        <c:grouping val="stacked"/>
        <c:varyColors val="0"/>
        <c:ser>
          <c:idx val="0"/>
          <c:order val="0"/>
          <c:tx>
            <c:strRef>
              <c:f>'Chart data (HIDE)'!$B$36</c:f>
              <c:strCache>
                <c:ptCount val="1"/>
                <c:pt idx="0">
                  <c:v>$/unit Covered By AgriInsurance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(HIDE)'!$A$44:$A$47</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(HIDE)'!$B$44:$B$47</c:f>
              <c:numCache>
                <c:formatCode>"$"#,##0.00</c:formatCode>
                <c:ptCount val="4"/>
                <c:pt idx="0">
                  <c:v>9.5602173913043469</c:v>
                </c:pt>
                <c:pt idx="1">
                  <c:v>8.2715360501567403</c:v>
                </c:pt>
                <c:pt idx="2">
                  <c:v>7.3091966759002771</c:v>
                </c:pt>
                <c:pt idx="3">
                  <c:v>6.5312376237623759</c:v>
                </c:pt>
              </c:numCache>
            </c:numRef>
          </c:val>
          <c:extLst>
            <c:ext xmlns:c16="http://schemas.microsoft.com/office/drawing/2014/chart" uri="{C3380CC4-5D6E-409C-BE32-E72D297353CC}">
              <c16:uniqueId val="{00000000-4817-42C0-996C-559F3C9FAC6F}"/>
            </c:ext>
          </c:extLst>
        </c:ser>
        <c:ser>
          <c:idx val="1"/>
          <c:order val="1"/>
          <c:tx>
            <c:strRef>
              <c:f>'Chart data (HIDE)'!$C$36</c:f>
              <c:strCache>
                <c:ptCount val="1"/>
                <c:pt idx="0">
                  <c:v>$/unit  Exposed Risk</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(HIDE)'!$A$44:$A$47</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(HIDE)'!$C$44:$C$47</c:f>
              <c:numCache>
                <c:formatCode>"$"#,##0.00</c:formatCode>
                <c:ptCount val="4"/>
                <c:pt idx="0">
                  <c:v>8.291375212707484</c:v>
                </c:pt>
                <c:pt idx="1">
                  <c:v>7.1737290241607052</c:v>
                </c:pt>
                <c:pt idx="2">
                  <c:v>6.3391123509896543</c:v>
                </c:pt>
                <c:pt idx="3">
                  <c:v>5.6644048482853098</c:v>
                </c:pt>
              </c:numCache>
            </c:numRef>
          </c:val>
          <c:extLst>
            <c:ext xmlns:c16="http://schemas.microsoft.com/office/drawing/2014/chart" uri="{C3380CC4-5D6E-409C-BE32-E72D297353CC}">
              <c16:uniqueId val="{00000001-4817-42C0-996C-559F3C9FAC6F}"/>
            </c:ext>
          </c:extLst>
        </c:ser>
        <c:ser>
          <c:idx val="2"/>
          <c:order val="2"/>
          <c:tx>
            <c:strRef>
              <c:f>'Chart data (HIDE)'!$D$36</c:f>
              <c:strCache>
                <c:ptCount val="1"/>
                <c:pt idx="0">
                  <c:v>$/unit Reward</c:v>
                </c:pt>
              </c:strCache>
            </c:strRef>
          </c:tx>
          <c:invertIfNegative val="0"/>
          <c:dLbls>
            <c:dLbl>
              <c:idx val="3"/>
              <c:layout>
                <c:manualLayout>
                  <c:x val="1.9129603060736491E-3"/>
                  <c:y val="-3.5087350923239856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17-42C0-996C-559F3C9FAC6F}"/>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(HIDE)'!$A$44:$A$47</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(HIDE)'!$D$44:$D$47</c:f>
              <c:numCache>
                <c:formatCode>"$"#,##0.00</c:formatCode>
                <c:ptCount val="4"/>
                <c:pt idx="0">
                  <c:v>-4.1015926040118309</c:v>
                </c:pt>
                <c:pt idx="1">
                  <c:v>-1.6952650743174456</c:v>
                </c:pt>
                <c:pt idx="2">
                  <c:v>0.10169097311006858</c:v>
                </c:pt>
                <c:pt idx="3">
                  <c:v>1.5543575279523143</c:v>
                </c:pt>
              </c:numCache>
            </c:numRef>
          </c:val>
          <c:extLst>
            <c:ext xmlns:c16="http://schemas.microsoft.com/office/drawing/2014/chart" uri="{C3380CC4-5D6E-409C-BE32-E72D297353CC}">
              <c16:uniqueId val="{00000003-4817-42C0-996C-559F3C9FAC6F}"/>
            </c:ext>
          </c:extLst>
        </c:ser>
        <c:dLbls>
          <c:showLegendKey val="0"/>
          <c:showVal val="0"/>
          <c:showCatName val="0"/>
          <c:showSerName val="0"/>
          <c:showPercent val="0"/>
          <c:showBubbleSize val="0"/>
        </c:dLbls>
        <c:gapWidth val="75"/>
        <c:overlap val="100"/>
        <c:axId val="226005296"/>
        <c:axId val="1"/>
      </c:barChart>
      <c:catAx>
        <c:axId val="226005296"/>
        <c:scaling>
          <c:orientation val="minMax"/>
        </c:scaling>
        <c:delete val="0"/>
        <c:axPos val="b"/>
        <c:numFmt formatCode="General" sourceLinked="1"/>
        <c:majorTickMark val="none"/>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26005296"/>
        <c:crosses val="autoZero"/>
        <c:crossBetween val="between"/>
      </c:valAx>
      <c:spPr>
        <a:solidFill>
          <a:schemeClr val="bg1">
            <a:lumMod val="85000"/>
          </a:schemeClr>
        </a:solidFill>
      </c:spPr>
    </c:plotArea>
    <c:legend>
      <c:legendPos val="b"/>
      <c:layout>
        <c:manualLayout>
          <c:xMode val="edge"/>
          <c:yMode val="edge"/>
          <c:x val="5.4519368723098996E-2"/>
          <c:y val="0.93333499102085926"/>
          <c:w val="0.88522298414276401"/>
          <c:h val="5.2631578947368363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(HIDE)'!$A$34</c:f>
          <c:strCache>
            <c:ptCount val="1"/>
            <c:pt idx="0">
              <c:v>Manitoba - Monetizing Risk &amp; Reward ($/unit) - 2022</c:v>
            </c:pt>
          </c:strCache>
        </c:strRef>
      </c:tx>
      <c:overlay val="0"/>
      <c:txPr>
        <a:bodyPr/>
        <a:lstStyle/>
        <a:p>
          <a:pPr>
            <a:defRPr sz="18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341150864032958"/>
          <c:y val="9.842703872542248E-2"/>
          <c:w val="0.84554592799286032"/>
          <c:h val="0.64512685914260715"/>
        </c:manualLayout>
      </c:layout>
      <c:barChart>
        <c:barDir val="col"/>
        <c:grouping val="stacked"/>
        <c:varyColors val="0"/>
        <c:ser>
          <c:idx val="0"/>
          <c:order val="0"/>
          <c:tx>
            <c:strRef>
              <c:f>'Chart data (HIDE)'!$B$36</c:f>
              <c:strCache>
                <c:ptCount val="1"/>
                <c:pt idx="0">
                  <c:v>$/unit Covered By AgriInsurance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(HIDE)'!$A$44:$A$47</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(HIDE)'!$E$44:$E$47</c:f>
              <c:numCache>
                <c:formatCode>"$"#,##0.00</c:formatCode>
                <c:ptCount val="4"/>
                <c:pt idx="0">
                  <c:v>0</c:v>
                </c:pt>
                <c:pt idx="1">
                  <c:v>0</c:v>
                </c:pt>
                <c:pt idx="2">
                  <c:v>0</c:v>
                </c:pt>
                <c:pt idx="3">
                  <c:v>6.5312376237623759</c:v>
                </c:pt>
              </c:numCache>
            </c:numRef>
          </c:val>
          <c:extLst>
            <c:ext xmlns:c16="http://schemas.microsoft.com/office/drawing/2014/chart" uri="{C3380CC4-5D6E-409C-BE32-E72D297353CC}">
              <c16:uniqueId val="{00000000-93ED-429F-9EBB-8050A9FB83F8}"/>
            </c:ext>
          </c:extLst>
        </c:ser>
        <c:ser>
          <c:idx val="1"/>
          <c:order val="1"/>
          <c:tx>
            <c:strRef>
              <c:f>'Chart data (HIDE)'!$F$36</c:f>
              <c:strCache>
                <c:ptCount val="1"/>
                <c:pt idx="0">
                  <c:v>$/unit  Exposed Risk</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(HIDE)'!$A$44:$A$47</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(HIDE)'!$F$44:$F$47</c:f>
              <c:numCache>
                <c:formatCode>"$"#,##0.00</c:formatCode>
                <c:ptCount val="4"/>
                <c:pt idx="3">
                  <c:v>5.6644048482853098</c:v>
                </c:pt>
              </c:numCache>
            </c:numRef>
          </c:val>
          <c:extLst>
            <c:ext xmlns:c16="http://schemas.microsoft.com/office/drawing/2014/chart" uri="{C3380CC4-5D6E-409C-BE32-E72D297353CC}">
              <c16:uniqueId val="{00000001-93ED-429F-9EBB-8050A9FB83F8}"/>
            </c:ext>
          </c:extLst>
        </c:ser>
        <c:ser>
          <c:idx val="2"/>
          <c:order val="2"/>
          <c:tx>
            <c:strRef>
              <c:f>'Chart data (HIDE)'!$D$36</c:f>
              <c:strCache>
                <c:ptCount val="1"/>
                <c:pt idx="0">
                  <c:v>$/unit Reward</c:v>
                </c:pt>
              </c:strCache>
            </c:strRef>
          </c:tx>
          <c:invertIfNegative val="0"/>
          <c:dLbls>
            <c:dLbl>
              <c:idx val="3"/>
              <c:layout>
                <c:manualLayout>
                  <c:x val="1.9129603060736491E-3"/>
                  <c:y val="-3.5087350923239856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ED-429F-9EBB-8050A9FB83F8}"/>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(HIDE)'!$A$44:$A$47</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(HIDE)'!$G$44:$G$47</c:f>
              <c:numCache>
                <c:formatCode>"$"#,##0.00</c:formatCode>
                <c:ptCount val="4"/>
                <c:pt idx="3">
                  <c:v>1.5543575279523143</c:v>
                </c:pt>
              </c:numCache>
            </c:numRef>
          </c:val>
          <c:extLst>
            <c:ext xmlns:c16="http://schemas.microsoft.com/office/drawing/2014/chart" uri="{C3380CC4-5D6E-409C-BE32-E72D297353CC}">
              <c16:uniqueId val="{00000003-93ED-429F-9EBB-8050A9FB83F8}"/>
            </c:ext>
          </c:extLst>
        </c:ser>
        <c:dLbls>
          <c:showLegendKey val="0"/>
          <c:showVal val="0"/>
          <c:showCatName val="0"/>
          <c:showSerName val="0"/>
          <c:showPercent val="0"/>
          <c:showBubbleSize val="0"/>
        </c:dLbls>
        <c:gapWidth val="75"/>
        <c:overlap val="100"/>
        <c:axId val="226007264"/>
        <c:axId val="1"/>
      </c:barChart>
      <c:catAx>
        <c:axId val="226007264"/>
        <c:scaling>
          <c:orientation val="minMax"/>
        </c:scaling>
        <c:delete val="0"/>
        <c:axPos val="b"/>
        <c:numFmt formatCode="General" sourceLinked="1"/>
        <c:majorTickMark val="none"/>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26007264"/>
        <c:crosses val="autoZero"/>
        <c:crossBetween val="between"/>
      </c:valAx>
      <c:spPr>
        <a:solidFill>
          <a:schemeClr val="bg1">
            <a:lumMod val="85000"/>
          </a:schemeClr>
        </a:solidFill>
      </c:spPr>
    </c:plotArea>
    <c:legend>
      <c:legendPos val="b"/>
      <c:layout>
        <c:manualLayout>
          <c:xMode val="edge"/>
          <c:yMode val="edge"/>
          <c:x val="5.4519368723098996E-2"/>
          <c:y val="0.93333499102085926"/>
          <c:w val="0.88522298414276401"/>
          <c:h val="5.2631578947368363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'Chart data (HIDE)'!$A$51</c:f>
          <c:strCache>
            <c:ptCount val="1"/>
            <c:pt idx="0">
              <c:v>Manitoba - Breakeven Land Rent Calculation - 2022</c:v>
            </c:pt>
          </c:strCache>
        </c:strRef>
      </c:tx>
      <c:overlay val="0"/>
      <c:spPr>
        <a:solidFill>
          <a:sysClr val="window" lastClr="FFFFFF"/>
        </a:solidFill>
      </c:spPr>
      <c:txPr>
        <a:bodyPr/>
        <a:lstStyle/>
        <a:p>
          <a:pPr>
            <a:defRPr sz="20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59822444185686496"/>
        </c:manualLayout>
      </c:layout>
      <c:barChart>
        <c:barDir val="col"/>
        <c:grouping val="clustered"/>
        <c:varyColors val="0"/>
        <c:ser>
          <c:idx val="0"/>
          <c:order val="0"/>
          <c:tx>
            <c:strRef>
              <c:f>'Chart data (HIDE)'!$B$52</c:f>
              <c:strCache>
                <c:ptCount val="1"/>
                <c:pt idx="0">
                  <c:v>Maximum Available for Land Rent</c:v>
                </c:pt>
              </c:strCache>
            </c:strRef>
          </c:tx>
          <c:spPr>
            <a:solidFill>
              <a:schemeClr val="accent1"/>
            </a:solidFill>
            <a:ln>
              <a:solidFill>
                <a:schemeClr val="tx1"/>
              </a:soli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(HIDE)'!$A$57:$A$60</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(HIDE)'!$B$57:$B$60</c:f>
              <c:numCache>
                <c:formatCode>"$"#,##0</c:formatCode>
                <c:ptCount val="4"/>
                <c:pt idx="0">
                  <c:v>-936.48400315170875</c:v>
                </c:pt>
                <c:pt idx="1">
                  <c:v>-345.23400315170875</c:v>
                </c:pt>
                <c:pt idx="2">
                  <c:v>232.26599684829125</c:v>
                </c:pt>
                <c:pt idx="3">
                  <c:v>823.51599684829125</c:v>
                </c:pt>
              </c:numCache>
            </c:numRef>
          </c:val>
          <c:extLst>
            <c:ext xmlns:c16="http://schemas.microsoft.com/office/drawing/2014/chart" uri="{C3380CC4-5D6E-409C-BE32-E72D297353CC}">
              <c16:uniqueId val="{00000000-B786-4A30-8D28-7CDEE5F2F275}"/>
            </c:ext>
          </c:extLst>
        </c:ser>
        <c:dLbls>
          <c:showLegendKey val="0"/>
          <c:showVal val="0"/>
          <c:showCatName val="0"/>
          <c:showSerName val="0"/>
          <c:showPercent val="0"/>
          <c:showBubbleSize val="0"/>
        </c:dLbls>
        <c:gapWidth val="150"/>
        <c:axId val="226008576"/>
        <c:axId val="1"/>
      </c:barChart>
      <c:catAx>
        <c:axId val="226008576"/>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 </a:t>
                </a:r>
              </a:p>
            </c:rich>
          </c:tx>
          <c:overlay val="0"/>
        </c:title>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6008576"/>
        <c:crosses val="autoZero"/>
        <c:crossBetween val="between"/>
      </c:valAx>
      <c:spPr>
        <a:solidFill>
          <a:schemeClr val="bg1">
            <a:lumMod val="95000"/>
          </a:schemeClr>
        </a:solidFill>
      </c:spPr>
    </c:plotArea>
    <c:legend>
      <c:legendPos val="r"/>
      <c:layout>
        <c:manualLayout>
          <c:xMode val="edge"/>
          <c:yMode val="edge"/>
          <c:x val="0.20054228993733506"/>
          <c:y val="0.89579242474450205"/>
          <c:w val="0.59485180206132771"/>
          <c:h val="5.6112224448897741E-2"/>
        </c:manualLayout>
      </c:layout>
      <c:overlay val="0"/>
      <c:txPr>
        <a:bodyPr/>
        <a:lstStyle/>
        <a:p>
          <a:pPr>
            <a:defRPr sz="14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(HIDE)'!$A$81</c:f>
          <c:strCache>
            <c:ptCount val="1"/>
            <c:pt idx="0">
              <c:v>Manitoba Breakeven Yields (per Acre) -  2022</c:v>
            </c:pt>
          </c:strCache>
        </c:strRef>
      </c:tx>
      <c:overlay val="0"/>
      <c:txPr>
        <a:bodyPr/>
        <a:lstStyle/>
        <a:p>
          <a:pPr>
            <a:defRPr sz="20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1687335298771431"/>
          <c:y val="0.10166313657801795"/>
          <c:w val="0.83097553175311822"/>
          <c:h val="0.74289488367610168"/>
        </c:manualLayout>
      </c:layout>
      <c:barChart>
        <c:barDir val="col"/>
        <c:grouping val="clustered"/>
        <c:varyColors val="0"/>
        <c:ser>
          <c:idx val="1"/>
          <c:order val="0"/>
          <c:tx>
            <c:strRef>
              <c:f>'Chart data (HIDE)'!$B$82</c:f>
              <c:strCache>
                <c:ptCount val="1"/>
                <c:pt idx="0">
                  <c:v>B/E Yield Over Op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(HIDE)'!$A$7</c:f>
              <c:strCache>
                <c:ptCount val="1"/>
                <c:pt idx="0">
                  <c:v>Irrigated Potato</c:v>
                </c:pt>
              </c:strCache>
            </c:strRef>
          </c:cat>
          <c:val>
            <c:numRef>
              <c:f>'Chart data (HIDE)'!$B$83</c:f>
              <c:numCache>
                <c:formatCode>#,##0</c:formatCode>
                <c:ptCount val="1"/>
                <c:pt idx="0">
                  <c:v>302.28811069518719</c:v>
                </c:pt>
              </c:numCache>
            </c:numRef>
          </c:val>
          <c:extLst>
            <c:ext xmlns:c16="http://schemas.microsoft.com/office/drawing/2014/chart" uri="{C3380CC4-5D6E-409C-BE32-E72D297353CC}">
              <c16:uniqueId val="{00000000-2C3F-4467-AF5B-030FFA0D195F}"/>
            </c:ext>
          </c:extLst>
        </c:ser>
        <c:ser>
          <c:idx val="0"/>
          <c:order val="1"/>
          <c:tx>
            <c:strRef>
              <c:f>'Chart data (HIDE)'!$C$82</c:f>
              <c:strCache>
                <c:ptCount val="1"/>
                <c:pt idx="0">
                  <c:v>Breakeven Yield Over Total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(HIDE)'!$A$7</c:f>
              <c:strCache>
                <c:ptCount val="1"/>
                <c:pt idx="0">
                  <c:v>Irrigated Potato</c:v>
                </c:pt>
              </c:strCache>
            </c:strRef>
          </c:cat>
          <c:val>
            <c:numRef>
              <c:f>'Chart data (HIDE)'!$C$83</c:f>
              <c:numCache>
                <c:formatCode>#,##0</c:formatCode>
                <c:ptCount val="1"/>
                <c:pt idx="0">
                  <c:v>421.56488202842911</c:v>
                </c:pt>
              </c:numCache>
            </c:numRef>
          </c:val>
          <c:extLst>
            <c:ext xmlns:c16="http://schemas.microsoft.com/office/drawing/2014/chart" uri="{C3380CC4-5D6E-409C-BE32-E72D297353CC}">
              <c16:uniqueId val="{00000001-2C3F-4467-AF5B-030FFA0D195F}"/>
            </c:ext>
          </c:extLst>
        </c:ser>
        <c:dLbls>
          <c:showLegendKey val="0"/>
          <c:showVal val="0"/>
          <c:showCatName val="0"/>
          <c:showSerName val="0"/>
          <c:showPercent val="0"/>
          <c:showBubbleSize val="0"/>
        </c:dLbls>
        <c:gapWidth val="75"/>
        <c:axId val="226006608"/>
        <c:axId val="1"/>
      </c:barChart>
      <c:catAx>
        <c:axId val="226006608"/>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6006608"/>
        <c:crosses val="autoZero"/>
        <c:crossBetween val="between"/>
      </c:valAx>
      <c:spPr>
        <a:solidFill>
          <a:schemeClr val="bg1">
            <a:lumMod val="85000"/>
          </a:schemeClr>
        </a:solidFill>
      </c:spPr>
    </c:plotArea>
    <c:legend>
      <c:legendPos val="r"/>
      <c:layout>
        <c:manualLayout>
          <c:xMode val="edge"/>
          <c:yMode val="edge"/>
          <c:x val="8.6387434554973816E-2"/>
          <c:y val="0.90753424657534243"/>
          <c:w val="0.8259162303664922"/>
          <c:h val="4.4520547945205435E-2"/>
        </c:manualLayout>
      </c:layout>
      <c:overlay val="0"/>
      <c:txPr>
        <a:bodyPr/>
        <a:lstStyle/>
        <a:p>
          <a:pPr>
            <a:defRPr sz="14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(HIDE)'!$A$88</c:f>
          <c:strCache>
            <c:ptCount val="1"/>
            <c:pt idx="0">
              <c:v>Manitoba Breakeven Price ($/unit) - 2022</c:v>
            </c:pt>
          </c:strCache>
        </c:strRef>
      </c:tx>
      <c:overlay val="0"/>
      <c:txPr>
        <a:bodyPr/>
        <a:lstStyle/>
        <a:p>
          <a:pPr>
            <a:defRPr sz="20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259753675642824"/>
          <c:y val="8.9701465802102517E-2"/>
          <c:w val="0.82656211353142617"/>
          <c:h val="0.71068182240070288"/>
        </c:manualLayout>
      </c:layout>
      <c:barChart>
        <c:barDir val="col"/>
        <c:grouping val="clustered"/>
        <c:varyColors val="0"/>
        <c:ser>
          <c:idx val="0"/>
          <c:order val="0"/>
          <c:tx>
            <c:strRef>
              <c:f>'Chart data (HIDE)'!$B$90</c:f>
              <c:strCache>
                <c:ptCount val="1"/>
                <c:pt idx="0">
                  <c:v>B/E Price Over Op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(HIDE)'!$A$91:$A$94</c:f>
              <c:strCache>
                <c:ptCount val="4"/>
                <c:pt idx="0">
                  <c:v>Irrigated Potato - 325 Gross Yield per acre (cwt)</c:v>
                </c:pt>
                <c:pt idx="1">
                  <c:v>Irrigated Potato - 375 Gross Yield per acre (cwt)</c:v>
                </c:pt>
                <c:pt idx="2">
                  <c:v>Irrigated Potato - 425 Gross Yield per acre (cwt)</c:v>
                </c:pt>
                <c:pt idx="3">
                  <c:v>Irrigated Potato - 475 Gross Yield per acre (cwt)</c:v>
                </c:pt>
              </c:strCache>
            </c:strRef>
          </c:cat>
          <c:val>
            <c:numRef>
              <c:f>'Chart data (HIDE)'!$B$91:$B$94</c:f>
              <c:numCache>
                <c:formatCode>"$"#,##0.00</c:formatCode>
                <c:ptCount val="4"/>
                <c:pt idx="0">
                  <c:v>12.800696716485508</c:v>
                </c:pt>
                <c:pt idx="1">
                  <c:v>11.075210952194357</c:v>
                </c:pt>
                <c:pt idx="2">
                  <c:v>9.7866822541551244</c:v>
                </c:pt>
                <c:pt idx="3">
                  <c:v>8.745030430074257</c:v>
                </c:pt>
              </c:numCache>
            </c:numRef>
          </c:val>
          <c:extLst>
            <c:ext xmlns:c16="http://schemas.microsoft.com/office/drawing/2014/chart" uri="{C3380CC4-5D6E-409C-BE32-E72D297353CC}">
              <c16:uniqueId val="{00000000-66CF-4A0B-9925-59D3986323CC}"/>
            </c:ext>
          </c:extLst>
        </c:ser>
        <c:ser>
          <c:idx val="2"/>
          <c:order val="1"/>
          <c:tx>
            <c:strRef>
              <c:f>'Chart data (HIDE)'!$C$90</c:f>
              <c:strCache>
                <c:ptCount val="1"/>
                <c:pt idx="0">
                  <c:v>Breakeven Price Over Total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(HIDE)'!$A$91:$A$94</c:f>
              <c:strCache>
                <c:ptCount val="4"/>
                <c:pt idx="0">
                  <c:v>Irrigated Potato - 325 Gross Yield per acre (cwt)</c:v>
                </c:pt>
                <c:pt idx="1">
                  <c:v>Irrigated Potato - 375 Gross Yield per acre (cwt)</c:v>
                </c:pt>
                <c:pt idx="2">
                  <c:v>Irrigated Potato - 425 Gross Yield per acre (cwt)</c:v>
                </c:pt>
                <c:pt idx="3">
                  <c:v>Irrigated Potato - 475 Gross Yield per acre (cwt)</c:v>
                </c:pt>
              </c:strCache>
            </c:strRef>
          </c:cat>
          <c:val>
            <c:numRef>
              <c:f>'Chart data (HIDE)'!$C$91:$C$94</c:f>
              <c:numCache>
                <c:formatCode>"$"#,##0.00</c:formatCode>
                <c:ptCount val="4"/>
                <c:pt idx="0">
                  <c:v>17.851592604011831</c:v>
                </c:pt>
                <c:pt idx="1">
                  <c:v>15.445265074317446</c:v>
                </c:pt>
                <c:pt idx="2">
                  <c:v>13.648309026889931</c:v>
                </c:pt>
                <c:pt idx="3">
                  <c:v>12.195642472047686</c:v>
                </c:pt>
              </c:numCache>
            </c:numRef>
          </c:val>
          <c:extLst>
            <c:ext xmlns:c16="http://schemas.microsoft.com/office/drawing/2014/chart" uri="{C3380CC4-5D6E-409C-BE32-E72D297353CC}">
              <c16:uniqueId val="{00000001-66CF-4A0B-9925-59D3986323CC}"/>
            </c:ext>
          </c:extLst>
        </c:ser>
        <c:dLbls>
          <c:showLegendKey val="0"/>
          <c:showVal val="0"/>
          <c:showCatName val="0"/>
          <c:showSerName val="0"/>
          <c:showPercent val="0"/>
          <c:showBubbleSize val="0"/>
        </c:dLbls>
        <c:gapWidth val="75"/>
        <c:overlap val="-25"/>
        <c:axId val="226010544"/>
        <c:axId val="1"/>
      </c:barChart>
      <c:lineChart>
        <c:grouping val="standard"/>
        <c:varyColors val="0"/>
        <c:ser>
          <c:idx val="1"/>
          <c:order val="2"/>
          <c:tx>
            <c:strRef>
              <c:f>'Chart data (HIDE)'!$D$90</c:f>
              <c:strCache>
                <c:ptCount val="1"/>
                <c:pt idx="0">
                  <c:v>Target Price</c:v>
                </c:pt>
              </c:strCache>
            </c:strRef>
          </c:tx>
          <c:dLbls>
            <c:dLbl>
              <c:idx val="0"/>
              <c:layout>
                <c:manualLayout>
                  <c:x val="8.9526371850985609E-2"/>
                  <c:y val="-2.6401160494755646E-2"/>
                </c:manualLayout>
              </c:layout>
              <c:spPr>
                <a:noFill/>
                <a:ln w="25400">
                  <a:noFill/>
                </a:ln>
              </c:spPr>
              <c:txPr>
                <a:bodyPr/>
                <a:lstStyle/>
                <a:p>
                  <a:pPr>
                    <a:defRPr sz="1100" b="1" i="0" u="none" strike="noStrike" baseline="0">
                      <a:solidFill>
                        <a:srgbClr val="FF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CF-4A0B-9925-59D3986323CC}"/>
                </c:ext>
              </c:extLst>
            </c:dLbl>
            <c:dLbl>
              <c:idx val="1"/>
              <c:delete val="1"/>
              <c:extLst>
                <c:ext xmlns:c15="http://schemas.microsoft.com/office/drawing/2012/chart" uri="{CE6537A1-D6FC-4f65-9D91-7224C49458BB}"/>
                <c:ext xmlns:c16="http://schemas.microsoft.com/office/drawing/2014/chart" uri="{C3380CC4-5D6E-409C-BE32-E72D297353CC}">
                  <c16:uniqueId val="{00000003-66CF-4A0B-9925-59D3986323CC}"/>
                </c:ext>
              </c:extLst>
            </c:dLbl>
            <c:dLbl>
              <c:idx val="2"/>
              <c:delete val="1"/>
              <c:extLst>
                <c:ext xmlns:c15="http://schemas.microsoft.com/office/drawing/2012/chart" uri="{CE6537A1-D6FC-4f65-9D91-7224C49458BB}"/>
                <c:ext xmlns:c16="http://schemas.microsoft.com/office/drawing/2014/chart" uri="{C3380CC4-5D6E-409C-BE32-E72D297353CC}">
                  <c16:uniqueId val="{00000004-66CF-4A0B-9925-59D3986323CC}"/>
                </c:ext>
              </c:extLst>
            </c:dLbl>
            <c:dLbl>
              <c:idx val="3"/>
              <c:delete val="1"/>
              <c:extLst>
                <c:ext xmlns:c15="http://schemas.microsoft.com/office/drawing/2012/chart" uri="{CE6537A1-D6FC-4f65-9D91-7224C49458BB}"/>
                <c:ext xmlns:c16="http://schemas.microsoft.com/office/drawing/2014/chart" uri="{C3380CC4-5D6E-409C-BE32-E72D297353CC}">
                  <c16:uniqueId val="{00000005-66CF-4A0B-9925-59D3986323CC}"/>
                </c:ext>
              </c:extLst>
            </c:dLbl>
            <c:spPr>
              <a:noFill/>
              <a:ln w="25400">
                <a:noFill/>
              </a:ln>
            </c:spPr>
            <c:txPr>
              <a:bodyPr wrap="square" lIns="38100" tIns="19050" rIns="38100" bIns="19050" anchor="ctr">
                <a:spAutoFit/>
              </a:bodyPr>
              <a:lstStyle/>
              <a:p>
                <a:pPr>
                  <a:defRPr sz="1000" b="0"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data (HIDE)'!$D$91:$D$94</c:f>
              <c:numCache>
                <c:formatCode>"$"#,##0.00</c:formatCode>
                <c:ptCount val="4"/>
                <c:pt idx="0">
                  <c:v>13.75</c:v>
                </c:pt>
                <c:pt idx="1">
                  <c:v>13.75</c:v>
                </c:pt>
                <c:pt idx="2">
                  <c:v>13.75</c:v>
                </c:pt>
                <c:pt idx="3">
                  <c:v>13.75</c:v>
                </c:pt>
              </c:numCache>
            </c:numRef>
          </c:val>
          <c:smooth val="0"/>
          <c:extLst>
            <c:ext xmlns:c16="http://schemas.microsoft.com/office/drawing/2014/chart" uri="{C3380CC4-5D6E-409C-BE32-E72D297353CC}">
              <c16:uniqueId val="{00000006-66CF-4A0B-9925-59D3986323CC}"/>
            </c:ext>
          </c:extLst>
        </c:ser>
        <c:dLbls>
          <c:showLegendKey val="0"/>
          <c:showVal val="0"/>
          <c:showCatName val="0"/>
          <c:showSerName val="0"/>
          <c:showPercent val="0"/>
          <c:showBubbleSize val="0"/>
        </c:dLbls>
        <c:marker val="1"/>
        <c:smooth val="0"/>
        <c:axId val="226010544"/>
        <c:axId val="1"/>
      </c:lineChart>
      <c:catAx>
        <c:axId val="22601054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6010544"/>
        <c:crosses val="autoZero"/>
        <c:crossBetween val="between"/>
      </c:valAx>
      <c:spPr>
        <a:solidFill>
          <a:schemeClr val="bg1">
            <a:lumMod val="85000"/>
          </a:schemeClr>
        </a:solidFill>
      </c:spPr>
    </c:plotArea>
    <c:legend>
      <c:legendPos val="r"/>
      <c:layout>
        <c:manualLayout>
          <c:xMode val="edge"/>
          <c:yMode val="edge"/>
          <c:x val="2.9810298102981029E-2"/>
          <c:y val="0.92296072507552873"/>
          <c:w val="0.82791441720191472"/>
          <c:h val="4.5317220543806602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(HIDE)'!$A$76</c:f>
          <c:strCache>
            <c:ptCount val="1"/>
            <c:pt idx="0">
              <c:v> Costs Not Covered By 80% AgriInsurance - 2022</c:v>
            </c:pt>
          </c:strCache>
        </c:strRef>
      </c:tx>
      <c:overlay val="0"/>
      <c:txPr>
        <a:bodyPr/>
        <a:lstStyle/>
        <a:p>
          <a:pPr>
            <a:defRPr sz="1800" b="1" i="0" u="none" strike="noStrike" baseline="0">
              <a:solidFill>
                <a:sysClr val="windowText" lastClr="000000"/>
              </a:solidFill>
              <a:latin typeface="Calibri"/>
              <a:ea typeface="Calibri"/>
              <a:cs typeface="Calibri"/>
            </a:defRPr>
          </a:pPr>
          <a:endParaRPr lang="en-US"/>
        </a:p>
      </c:txPr>
    </c:title>
    <c:autoTitleDeleted val="0"/>
    <c:plotArea>
      <c:layout/>
      <c:barChart>
        <c:barDir val="col"/>
        <c:grouping val="stacked"/>
        <c:varyColors val="0"/>
        <c:ser>
          <c:idx val="0"/>
          <c:order val="0"/>
          <c:tx>
            <c:strRef>
              <c:f>'Chart data (HIDE)'!$B$77</c:f>
              <c:strCache>
                <c:ptCount val="1"/>
                <c:pt idx="0">
                  <c:v>Operating Costs</c:v>
                </c:pt>
              </c:strCache>
            </c:strRef>
          </c:tx>
          <c:invertIfNegative val="0"/>
          <c:dLbls>
            <c:dLbl>
              <c:idx val="0"/>
              <c:layout>
                <c:manualLayout>
                  <c:x val="0"/>
                  <c:y val="-1.6386589318524328E-2"/>
                </c:manualLayout>
              </c:layout>
              <c:spPr>
                <a:noFill/>
                <a:ln w="25400">
                  <a:noFill/>
                </a:ln>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B5-4254-8B44-3E2B96E29827}"/>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(HIDE)'!$A$78</c:f>
              <c:strCache>
                <c:ptCount val="1"/>
                <c:pt idx="0">
                  <c:v>Irrigated Potato</c:v>
                </c:pt>
              </c:strCache>
            </c:strRef>
          </c:cat>
          <c:val>
            <c:numRef>
              <c:f>'Chart data (HIDE)'!$B$78</c:f>
              <c:numCache>
                <c:formatCode>"$"#,##0</c:formatCode>
                <c:ptCount val="1"/>
                <c:pt idx="0">
                  <c:v>894.37229375000015</c:v>
                </c:pt>
              </c:numCache>
            </c:numRef>
          </c:val>
          <c:extLst>
            <c:ext xmlns:c16="http://schemas.microsoft.com/office/drawing/2014/chart" uri="{C3380CC4-5D6E-409C-BE32-E72D297353CC}">
              <c16:uniqueId val="{00000001-0EB5-4254-8B44-3E2B96E29827}"/>
            </c:ext>
          </c:extLst>
        </c:ser>
        <c:ser>
          <c:idx val="1"/>
          <c:order val="1"/>
          <c:tx>
            <c:strRef>
              <c:f>'Chart data (HIDE)'!$C$77</c:f>
              <c:strCache>
                <c:ptCount val="1"/>
                <c:pt idx="0">
                  <c:v> Fixed Costs</c:v>
                </c:pt>
              </c:strCache>
            </c:strRef>
          </c:tx>
          <c:invertIfNegative val="0"/>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(HIDE)'!$A$78</c:f>
              <c:strCache>
                <c:ptCount val="1"/>
                <c:pt idx="0">
                  <c:v>Irrigated Potato</c:v>
                </c:pt>
              </c:strCache>
            </c:strRef>
          </c:cat>
          <c:val>
            <c:numRef>
              <c:f>'Chart data (HIDE)'!$C$78</c:f>
              <c:numCache>
                <c:formatCode>"$"#,##0</c:formatCode>
                <c:ptCount val="1"/>
                <c:pt idx="0">
                  <c:v>1282.0472649572653</c:v>
                </c:pt>
              </c:numCache>
            </c:numRef>
          </c:val>
          <c:extLst>
            <c:ext xmlns:c16="http://schemas.microsoft.com/office/drawing/2014/chart" uri="{C3380CC4-5D6E-409C-BE32-E72D297353CC}">
              <c16:uniqueId val="{00000002-0EB5-4254-8B44-3E2B96E29827}"/>
            </c:ext>
          </c:extLst>
        </c:ser>
        <c:ser>
          <c:idx val="2"/>
          <c:order val="2"/>
          <c:tx>
            <c:strRef>
              <c:f>'Chart data (HIDE)'!$D$77</c:f>
              <c:strCache>
                <c:ptCount val="1"/>
                <c:pt idx="0">
                  <c:v>Labour</c:v>
                </c:pt>
              </c:strCache>
            </c:strRef>
          </c:tx>
          <c:invertIfNegative val="0"/>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(HIDE)'!$A$78</c:f>
              <c:strCache>
                <c:ptCount val="1"/>
                <c:pt idx="0">
                  <c:v>Irrigated Potato</c:v>
                </c:pt>
              </c:strCache>
            </c:strRef>
          </c:cat>
          <c:val>
            <c:numRef>
              <c:f>'Chart data (HIDE)'!$D$78</c:f>
              <c:numCache>
                <c:formatCode>"$"#,##0</c:formatCode>
                <c:ptCount val="1"/>
                <c:pt idx="0">
                  <c:v>112</c:v>
                </c:pt>
              </c:numCache>
            </c:numRef>
          </c:val>
          <c:extLst>
            <c:ext xmlns:c16="http://schemas.microsoft.com/office/drawing/2014/chart" uri="{C3380CC4-5D6E-409C-BE32-E72D297353CC}">
              <c16:uniqueId val="{00000003-0EB5-4254-8B44-3E2B96E29827}"/>
            </c:ext>
          </c:extLst>
        </c:ser>
        <c:dLbls>
          <c:showLegendKey val="0"/>
          <c:showVal val="0"/>
          <c:showCatName val="0"/>
          <c:showSerName val="0"/>
          <c:showPercent val="0"/>
          <c:showBubbleSize val="0"/>
        </c:dLbls>
        <c:gapWidth val="75"/>
        <c:overlap val="100"/>
        <c:axId val="226392048"/>
        <c:axId val="1"/>
      </c:barChart>
      <c:catAx>
        <c:axId val="226392048"/>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26392048"/>
        <c:crosses val="autoZero"/>
        <c:crossBetween val="between"/>
      </c:valAx>
      <c:spPr>
        <a:solidFill>
          <a:schemeClr val="bg1">
            <a:lumMod val="85000"/>
          </a:schemeClr>
        </a:solidFill>
      </c:spPr>
    </c:plotArea>
    <c:legend>
      <c:legendPos val="b"/>
      <c:layout>
        <c:manualLayout>
          <c:xMode val="edge"/>
          <c:yMode val="edge"/>
          <c:x val="0.21982788789332366"/>
          <c:y val="0.93333499102085926"/>
          <c:w val="0.5517248921471023"/>
          <c:h val="5.2631578947368363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(HIDE)'!$A$68</c:f>
          <c:strCache>
            <c:ptCount val="1"/>
            <c:pt idx="0">
              <c:v>Manitoba Crop Profitability ($/Acre) - 2022</c:v>
            </c:pt>
          </c:strCache>
        </c:strRef>
      </c:tx>
      <c:overlay val="0"/>
      <c:txPr>
        <a:bodyPr/>
        <a:lstStyle/>
        <a:p>
          <a:pPr>
            <a:defRPr sz="20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723878574584117"/>
          <c:y val="0.11199385925815877"/>
          <c:w val="0.8420162826181381"/>
          <c:h val="0.63657207943346705"/>
        </c:manualLayout>
      </c:layout>
      <c:barChart>
        <c:barDir val="col"/>
        <c:grouping val="stacked"/>
        <c:varyColors val="0"/>
        <c:ser>
          <c:idx val="1"/>
          <c:order val="0"/>
          <c:tx>
            <c:strRef>
              <c:f>'Chart data (HIDE)'!$B$69</c:f>
              <c:strCache>
                <c:ptCount val="1"/>
                <c:pt idx="0">
                  <c:v>Operating Costs</c:v>
                </c:pt>
              </c:strCache>
            </c:strRef>
          </c:tx>
          <c:invertIfNegative val="0"/>
          <c:cat>
            <c:strRef>
              <c:f>'Chart data (HIDE)'!$A$70:$A$73</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(HIDE)'!$B$70:$B$73</c:f>
              <c:numCache>
                <c:formatCode>"$"#,##0</c:formatCode>
                <c:ptCount val="4"/>
                <c:pt idx="0">
                  <c:v>3532.99229375</c:v>
                </c:pt>
                <c:pt idx="1">
                  <c:v>3532.99229375</c:v>
                </c:pt>
                <c:pt idx="2">
                  <c:v>3532.99229375</c:v>
                </c:pt>
                <c:pt idx="3">
                  <c:v>3532.99229375</c:v>
                </c:pt>
              </c:numCache>
            </c:numRef>
          </c:val>
          <c:extLst>
            <c:ext xmlns:c16="http://schemas.microsoft.com/office/drawing/2014/chart" uri="{C3380CC4-5D6E-409C-BE32-E72D297353CC}">
              <c16:uniqueId val="{00000000-5159-43CB-A504-E0DB9CFDEFEC}"/>
            </c:ext>
          </c:extLst>
        </c:ser>
        <c:ser>
          <c:idx val="3"/>
          <c:order val="1"/>
          <c:tx>
            <c:strRef>
              <c:f>'Chart data (HIDE)'!$C$69</c:f>
              <c:strCache>
                <c:ptCount val="1"/>
                <c:pt idx="0">
                  <c:v>Fixed Costs</c:v>
                </c:pt>
              </c:strCache>
            </c:strRef>
          </c:tx>
          <c:spPr>
            <a:solidFill>
              <a:schemeClr val="accent1"/>
            </a:solidFill>
          </c:spPr>
          <c:invertIfNegative val="0"/>
          <c:cat>
            <c:strRef>
              <c:f>'Chart data (HIDE)'!$A$70:$A$73</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(HIDE)'!$C$70:$C$73</c:f>
              <c:numCache>
                <c:formatCode>"$"#,##0</c:formatCode>
                <c:ptCount val="4"/>
                <c:pt idx="0">
                  <c:v>1282.0472649572648</c:v>
                </c:pt>
                <c:pt idx="1">
                  <c:v>1282.0472649572648</c:v>
                </c:pt>
                <c:pt idx="2">
                  <c:v>1282.0472649572648</c:v>
                </c:pt>
                <c:pt idx="3">
                  <c:v>1282.0472649572648</c:v>
                </c:pt>
              </c:numCache>
            </c:numRef>
          </c:val>
          <c:extLst>
            <c:ext xmlns:c16="http://schemas.microsoft.com/office/drawing/2014/chart" uri="{C3380CC4-5D6E-409C-BE32-E72D297353CC}">
              <c16:uniqueId val="{00000001-5159-43CB-A504-E0DB9CFDEFEC}"/>
            </c:ext>
          </c:extLst>
        </c:ser>
        <c:ser>
          <c:idx val="0"/>
          <c:order val="2"/>
          <c:tx>
            <c:strRef>
              <c:f>'Chart data (HIDE)'!$D$69</c:f>
              <c:strCache>
                <c:ptCount val="1"/>
                <c:pt idx="0">
                  <c:v>Labour Costs</c:v>
                </c:pt>
              </c:strCache>
            </c:strRef>
          </c:tx>
          <c:spPr>
            <a:solidFill>
              <a:srgbClr val="7030A0"/>
            </a:solidFill>
          </c:spPr>
          <c:invertIfNegative val="0"/>
          <c:cat>
            <c:strRef>
              <c:f>'Chart data (HIDE)'!$A$70:$A$73</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(HIDE)'!$D$70:$D$73</c:f>
              <c:numCache>
                <c:formatCode>"$"#,##0</c:formatCode>
                <c:ptCount val="4"/>
                <c:pt idx="0">
                  <c:v>112</c:v>
                </c:pt>
                <c:pt idx="1">
                  <c:v>112</c:v>
                </c:pt>
                <c:pt idx="2">
                  <c:v>112</c:v>
                </c:pt>
                <c:pt idx="3">
                  <c:v>112</c:v>
                </c:pt>
              </c:numCache>
            </c:numRef>
          </c:val>
          <c:extLst>
            <c:ext xmlns:c16="http://schemas.microsoft.com/office/drawing/2014/chart" uri="{C3380CC4-5D6E-409C-BE32-E72D297353CC}">
              <c16:uniqueId val="{00000002-5159-43CB-A504-E0DB9CFDEFEC}"/>
            </c:ext>
          </c:extLst>
        </c:ser>
        <c:ser>
          <c:idx val="4"/>
          <c:order val="3"/>
          <c:tx>
            <c:strRef>
              <c:f>'Chart data (HIDE)'!$E$69</c:f>
              <c:strCache>
                <c:ptCount val="1"/>
                <c:pt idx="0">
                  <c:v>Margin Over Total Costs (Net Profit)</c:v>
                </c:pt>
              </c:strCache>
            </c:strRef>
          </c:tx>
          <c:spPr>
            <a:solidFill>
              <a:srgbClr val="92D050"/>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(HIDE)'!$A$70:$A$73</c:f>
              <c:strCache>
                <c:ptCount val="4"/>
                <c:pt idx="0">
                  <c:v>Irrigated Potato - 276 Mkt Yield/ac (cwt)</c:v>
                </c:pt>
                <c:pt idx="1">
                  <c:v>Irrigated Potato - 319 Mkt Yield/ac (cwt)</c:v>
                </c:pt>
                <c:pt idx="2">
                  <c:v>Irrigated Potato - 361 Mkt Yield/ac (cwt)</c:v>
                </c:pt>
                <c:pt idx="3">
                  <c:v>Irrigated Potato - 404 Mkt Yield/ac (cwt)</c:v>
                </c:pt>
              </c:strCache>
            </c:strRef>
          </c:cat>
          <c:val>
            <c:numRef>
              <c:f>'Chart data (HIDE)'!$E$70:$E$73</c:f>
              <c:numCache>
                <c:formatCode>"$"#,##0.00;\("$"#,##0.00\)</c:formatCode>
                <c:ptCount val="4"/>
                <c:pt idx="0">
                  <c:v>-1132.0395587072653</c:v>
                </c:pt>
                <c:pt idx="1">
                  <c:v>-540.78955870726531</c:v>
                </c:pt>
                <c:pt idx="2">
                  <c:v>36.710441292734686</c:v>
                </c:pt>
                <c:pt idx="3">
                  <c:v>627.96044129273469</c:v>
                </c:pt>
              </c:numCache>
            </c:numRef>
          </c:val>
          <c:extLst>
            <c:ext xmlns:c16="http://schemas.microsoft.com/office/drawing/2014/chart" uri="{C3380CC4-5D6E-409C-BE32-E72D297353CC}">
              <c16:uniqueId val="{00000003-5159-43CB-A504-E0DB9CFDEFEC}"/>
            </c:ext>
          </c:extLst>
        </c:ser>
        <c:dLbls>
          <c:showLegendKey val="0"/>
          <c:showVal val="0"/>
          <c:showCatName val="0"/>
          <c:showSerName val="0"/>
          <c:showPercent val="0"/>
          <c:showBubbleSize val="0"/>
        </c:dLbls>
        <c:gapWidth val="150"/>
        <c:overlap val="100"/>
        <c:axId val="226387456"/>
        <c:axId val="1"/>
      </c:barChart>
      <c:catAx>
        <c:axId val="226387456"/>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 sourceLinked="1"/>
        <c:majorTickMark val="in"/>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6387456"/>
        <c:crosses val="autoZero"/>
        <c:crossBetween val="between"/>
      </c:valAx>
      <c:spPr>
        <a:solidFill>
          <a:schemeClr val="bg1">
            <a:lumMod val="85000"/>
          </a:schemeClr>
        </a:solidFill>
      </c:spPr>
    </c:plotArea>
    <c:legend>
      <c:legendPos val="b"/>
      <c:layout>
        <c:manualLayout>
          <c:xMode val="edge"/>
          <c:yMode val="edge"/>
          <c:x val="5.9405940594059403E-2"/>
          <c:y val="0.91509433962264153"/>
          <c:w val="0.89533239038189527"/>
          <c:h val="5.2830188679245271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(HIDE)'!$W$27</c:f>
          <c:strCache>
            <c:ptCount val="1"/>
            <c:pt idx="0">
              <c:v>Manitoba Crop Production Costs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barChart>
        <c:barDir val="col"/>
        <c:grouping val="stacked"/>
        <c:varyColors val="0"/>
        <c:ser>
          <c:idx val="0"/>
          <c:order val="0"/>
          <c:tx>
            <c:strRef>
              <c:f>'For PPT (HIDE)'!$C$6</c:f>
              <c:strCache>
                <c:ptCount val="1"/>
                <c:pt idx="0">
                  <c:v>A.  Operating Costs</c:v>
                </c:pt>
              </c:strCache>
            </c:strRef>
          </c:tx>
          <c:invertIfNegative val="0"/>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(HIDE)'!$C$7:$C$23</c:f>
              <c:numCache>
                <c:formatCode>"$"#,##0.00_);\("$"#,##0.00\)</c:formatCode>
                <c:ptCount val="17"/>
                <c:pt idx="0">
                  <c:v>244.95043592838095</c:v>
                </c:pt>
                <c:pt idx="1">
                  <c:v>199.48883328165601</c:v>
                </c:pt>
                <c:pt idx="2">
                  <c:v>202.72000432861327</c:v>
                </c:pt>
                <c:pt idx="3">
                  <c:v>178.38326176678888</c:v>
                </c:pt>
                <c:pt idx="4">
                  <c:v>157.37599038727407</c:v>
                </c:pt>
                <c:pt idx="5">
                  <c:v>337.88685009746649</c:v>
                </c:pt>
                <c:pt idx="6">
                  <c:v>209.70506370384354</c:v>
                </c:pt>
                <c:pt idx="7">
                  <c:v>186.46456904011822</c:v>
                </c:pt>
                <c:pt idx="8">
                  <c:v>171.91365597176832</c:v>
                </c:pt>
                <c:pt idx="9">
                  <c:v>126.06833751856932</c:v>
                </c:pt>
                <c:pt idx="10">
                  <c:v>151.23989287803889</c:v>
                </c:pt>
                <c:pt idx="11">
                  <c:v>304.97952186665566</c:v>
                </c:pt>
                <c:pt idx="12">
                  <c:v>311.40025565043203</c:v>
                </c:pt>
                <c:pt idx="13">
                  <c:v>324.36862679836781</c:v>
                </c:pt>
                <c:pt idx="14">
                  <c:v>227.82202186665569</c:v>
                </c:pt>
                <c:pt idx="15">
                  <c:v>203.68254550327609</c:v>
                </c:pt>
                <c:pt idx="16">
                  <c:v>201.56004550327609</c:v>
                </c:pt>
              </c:numCache>
            </c:numRef>
          </c:val>
          <c:extLst>
            <c:ext xmlns:c16="http://schemas.microsoft.com/office/drawing/2014/chart" uri="{C3380CC4-5D6E-409C-BE32-E72D297353CC}">
              <c16:uniqueId val="{00000000-D292-483C-8D81-3282EF2D1451}"/>
            </c:ext>
          </c:extLst>
        </c:ser>
        <c:ser>
          <c:idx val="1"/>
          <c:order val="1"/>
          <c:tx>
            <c:strRef>
              <c:f>'For PPT (HIDE)'!$D$6</c:f>
              <c:strCache>
                <c:ptCount val="1"/>
                <c:pt idx="0">
                  <c:v>B.   Fixed Costs</c:v>
                </c:pt>
              </c:strCache>
            </c:strRef>
          </c:tx>
          <c:invertIfNegative val="0"/>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(HIDE)'!$D$7:$D$23</c:f>
              <c:numCache>
                <c:formatCode>"$"#,##0.00_);\("$"#,##0.00\)</c:formatCode>
                <c:ptCount val="17"/>
                <c:pt idx="0">
                  <c:v>134.73952500000001</c:v>
                </c:pt>
                <c:pt idx="1">
                  <c:v>136.83638437500002</c:v>
                </c:pt>
                <c:pt idx="2">
                  <c:v>134.73952500000001</c:v>
                </c:pt>
                <c:pt idx="3">
                  <c:v>139.35261562500003</c:v>
                </c:pt>
                <c:pt idx="4">
                  <c:v>143.82591562500002</c:v>
                </c:pt>
                <c:pt idx="5">
                  <c:v>156.98537812500001</c:v>
                </c:pt>
                <c:pt idx="6">
                  <c:v>138.65366250000002</c:v>
                </c:pt>
                <c:pt idx="7">
                  <c:v>138.51387187500004</c:v>
                </c:pt>
                <c:pt idx="8">
                  <c:v>132.50287500000002</c:v>
                </c:pt>
                <c:pt idx="9">
                  <c:v>137.25575625000002</c:v>
                </c:pt>
                <c:pt idx="10">
                  <c:v>134.73952500000001</c:v>
                </c:pt>
                <c:pt idx="11">
                  <c:v>147.33982499999999</c:v>
                </c:pt>
                <c:pt idx="12">
                  <c:v>138.06661875</c:v>
                </c:pt>
                <c:pt idx="13">
                  <c:v>137.9501265625</c:v>
                </c:pt>
                <c:pt idx="14">
                  <c:v>147.33982499999999</c:v>
                </c:pt>
                <c:pt idx="15">
                  <c:v>138.65366250000002</c:v>
                </c:pt>
                <c:pt idx="16">
                  <c:v>138.65366250000002</c:v>
                </c:pt>
              </c:numCache>
            </c:numRef>
          </c:val>
          <c:extLst>
            <c:ext xmlns:c16="http://schemas.microsoft.com/office/drawing/2014/chart" uri="{C3380CC4-5D6E-409C-BE32-E72D297353CC}">
              <c16:uniqueId val="{00000001-D292-483C-8D81-3282EF2D1451}"/>
            </c:ext>
          </c:extLst>
        </c:ser>
        <c:ser>
          <c:idx val="2"/>
          <c:order val="2"/>
          <c:tx>
            <c:strRef>
              <c:f>'For PPT (HIDE)'!$E$6</c:f>
              <c:strCache>
                <c:ptCount val="1"/>
                <c:pt idx="0">
                  <c:v>C. Labour</c:v>
                </c:pt>
              </c:strCache>
            </c:strRef>
          </c:tx>
          <c:invertIfNegative val="0"/>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(HIDE)'!$E$7:$E$23</c:f>
              <c:numCache>
                <c:formatCode>"$"#,##0.00_);\("$"#,##0.00\)</c:formatCode>
                <c:ptCount val="17"/>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numCache>
            </c:numRef>
          </c:val>
          <c:extLst>
            <c:ext xmlns:c16="http://schemas.microsoft.com/office/drawing/2014/chart" uri="{C3380CC4-5D6E-409C-BE32-E72D297353CC}">
              <c16:uniqueId val="{00000002-D292-483C-8D81-3282EF2D1451}"/>
            </c:ext>
          </c:extLst>
        </c:ser>
        <c:dLbls>
          <c:showLegendKey val="0"/>
          <c:showVal val="0"/>
          <c:showCatName val="0"/>
          <c:showSerName val="0"/>
          <c:showPercent val="0"/>
          <c:showBubbleSize val="0"/>
        </c:dLbls>
        <c:gapWidth val="75"/>
        <c:overlap val="100"/>
        <c:axId val="226390736"/>
        <c:axId val="1"/>
      </c:barChart>
      <c:catAx>
        <c:axId val="226390736"/>
        <c:scaling>
          <c:orientation val="minMax"/>
        </c:scaling>
        <c:delete val="0"/>
        <c:axPos val="b"/>
        <c:numFmt formatCode="General" sourceLinked="1"/>
        <c:majorTickMark val="none"/>
        <c:minorTickMark val="none"/>
        <c:tickLblPos val="nextTo"/>
        <c:txPr>
          <a:bodyPr rot="-270000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$/Acre</a:t>
                </a:r>
              </a:p>
            </c:rich>
          </c:tx>
          <c:overlay val="0"/>
        </c:title>
        <c:numFmt formatCode="&quot;$&quot;#,##0.00_);\(&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26390736"/>
        <c:crosses val="autoZero"/>
        <c:crossBetween val="between"/>
      </c:valAx>
      <c:spPr>
        <a:solidFill>
          <a:schemeClr val="bg1">
            <a:lumMod val="85000"/>
          </a:schemeClr>
        </a:solidFill>
      </c:spPr>
    </c:plotArea>
    <c:legend>
      <c:legendPos val="b"/>
      <c:layout>
        <c:manualLayout>
          <c:xMode val="edge"/>
          <c:yMode val="edge"/>
          <c:x val="0.17524342652189223"/>
          <c:y val="0.94347965125049027"/>
          <c:w val="0.65090396895408809"/>
          <c:h val="4.347829366156819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80C0"/>
                </a:solidFill>
                <a:latin typeface="Calibri"/>
                <a:ea typeface="Calibri"/>
                <a:cs typeface="Calibri"/>
              </a:defRPr>
            </a:pPr>
            <a:r>
              <a:rPr lang="en-US"/>
              <a:t>Manitoba Crop Marginal Returns ($/Acre) - 2018</a:t>
            </a:r>
          </a:p>
        </c:rich>
      </c:tx>
      <c:overlay val="0"/>
    </c:title>
    <c:autoTitleDeleted val="0"/>
    <c:plotArea>
      <c:layout>
        <c:manualLayout>
          <c:layoutTarget val="inner"/>
          <c:xMode val="edge"/>
          <c:yMode val="edge"/>
          <c:x val="0.109835376613842"/>
          <c:y val="8.5090560908125501E-2"/>
          <c:w val="0.86846158070310764"/>
          <c:h val="0.68245542691193506"/>
        </c:manualLayout>
      </c:layout>
      <c:barChart>
        <c:barDir val="col"/>
        <c:grouping val="clustered"/>
        <c:varyColors val="0"/>
        <c:ser>
          <c:idx val="0"/>
          <c:order val="0"/>
          <c:tx>
            <c:strRef>
              <c:f>'For PPT (HIDE)'!$L$6</c:f>
              <c:strCache>
                <c:ptCount val="1"/>
                <c:pt idx="0">
                  <c:v>Margin Over Operating</c:v>
                </c:pt>
              </c:strCache>
            </c:strRef>
          </c:tx>
          <c:invertIfNegative val="0"/>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(HIDE)'!$L$7:$L$23</c:f>
              <c:numCache>
                <c:formatCode>"$"#,##0.00</c:formatCode>
                <c:ptCount val="17"/>
                <c:pt idx="0">
                  <c:v>205.04956407161905</c:v>
                </c:pt>
                <c:pt idx="1">
                  <c:v>177.26116671834399</c:v>
                </c:pt>
                <c:pt idx="2">
                  <c:v>217.27999567138673</c:v>
                </c:pt>
                <c:pt idx="3">
                  <c:v>102.66673823321113</c:v>
                </c:pt>
                <c:pt idx="4">
                  <c:v>183.87400961272593</c:v>
                </c:pt>
                <c:pt idx="5">
                  <c:v>226.11314990253351</c:v>
                </c:pt>
                <c:pt idx="6">
                  <c:v>198.29493629615646</c:v>
                </c:pt>
                <c:pt idx="7">
                  <c:v>138.48543095988177</c:v>
                </c:pt>
                <c:pt idx="8">
                  <c:v>128.08634402823168</c:v>
                </c:pt>
                <c:pt idx="9">
                  <c:v>134.93166248143069</c:v>
                </c:pt>
                <c:pt idx="10">
                  <c:v>148.76010712196111</c:v>
                </c:pt>
                <c:pt idx="11">
                  <c:v>199.0204781333444</c:v>
                </c:pt>
                <c:pt idx="12">
                  <c:v>246.59974434956797</c:v>
                </c:pt>
                <c:pt idx="13">
                  <c:v>200.63137320163219</c:v>
                </c:pt>
                <c:pt idx="14">
                  <c:v>204.17797813334431</c:v>
                </c:pt>
                <c:pt idx="15">
                  <c:v>149.91745449672393</c:v>
                </c:pt>
                <c:pt idx="16">
                  <c:v>152.03995449672394</c:v>
                </c:pt>
              </c:numCache>
            </c:numRef>
          </c:val>
          <c:extLst>
            <c:ext xmlns:c16="http://schemas.microsoft.com/office/drawing/2014/chart" uri="{C3380CC4-5D6E-409C-BE32-E72D297353CC}">
              <c16:uniqueId val="{00000000-CF58-46EB-8409-FD2E5DC85A54}"/>
            </c:ext>
          </c:extLst>
        </c:ser>
        <c:ser>
          <c:idx val="1"/>
          <c:order val="1"/>
          <c:tx>
            <c:strRef>
              <c:f>'For PPT (HIDE)'!$N$6</c:f>
              <c:strCache>
                <c:ptCount val="1"/>
                <c:pt idx="0">
                  <c:v>Margin Over Total Costs</c:v>
                </c:pt>
              </c:strCache>
            </c:strRef>
          </c:tx>
          <c:invertIfNegative val="0"/>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(HIDE)'!$N$7:$N$23</c:f>
              <c:numCache>
                <c:formatCode>"$"#,##0.00</c:formatCode>
                <c:ptCount val="17"/>
                <c:pt idx="0">
                  <c:v>40.31003907161903</c:v>
                </c:pt>
                <c:pt idx="1">
                  <c:v>10.424782343343963</c:v>
                </c:pt>
                <c:pt idx="2">
                  <c:v>52.540470671386743</c:v>
                </c:pt>
                <c:pt idx="3">
                  <c:v>-66.685877391788893</c:v>
                </c:pt>
                <c:pt idx="4">
                  <c:v>10.048093987725906</c:v>
                </c:pt>
                <c:pt idx="5">
                  <c:v>39.127771777533553</c:v>
                </c:pt>
                <c:pt idx="6">
                  <c:v>29.64127379615644</c:v>
                </c:pt>
                <c:pt idx="7">
                  <c:v>-30.028440915118267</c:v>
                </c:pt>
                <c:pt idx="8">
                  <c:v>-34.416530971768339</c:v>
                </c:pt>
                <c:pt idx="9">
                  <c:v>-32.324093768569355</c:v>
                </c:pt>
                <c:pt idx="10">
                  <c:v>-15.97941787803893</c:v>
                </c:pt>
                <c:pt idx="11">
                  <c:v>21.680653133344379</c:v>
                </c:pt>
                <c:pt idx="12">
                  <c:v>78.533125599567938</c:v>
                </c:pt>
                <c:pt idx="13">
                  <c:v>32.681246639132155</c:v>
                </c:pt>
                <c:pt idx="14">
                  <c:v>26.838153133344349</c:v>
                </c:pt>
                <c:pt idx="15">
                  <c:v>-18.73620800327609</c:v>
                </c:pt>
                <c:pt idx="16">
                  <c:v>-16.613708003276088</c:v>
                </c:pt>
              </c:numCache>
            </c:numRef>
          </c:val>
          <c:extLst>
            <c:ext xmlns:c16="http://schemas.microsoft.com/office/drawing/2014/chart" uri="{C3380CC4-5D6E-409C-BE32-E72D297353CC}">
              <c16:uniqueId val="{00000001-CF58-46EB-8409-FD2E5DC85A54}"/>
            </c:ext>
          </c:extLst>
        </c:ser>
        <c:dLbls>
          <c:showLegendKey val="0"/>
          <c:showVal val="0"/>
          <c:showCatName val="0"/>
          <c:showSerName val="0"/>
          <c:showPercent val="0"/>
          <c:showBubbleSize val="0"/>
        </c:dLbls>
        <c:gapWidth val="75"/>
        <c:overlap val="-25"/>
        <c:axId val="226392376"/>
        <c:axId val="1"/>
      </c:barChart>
      <c:catAx>
        <c:axId val="226392376"/>
        <c:scaling>
          <c:orientation val="minMax"/>
        </c:scaling>
        <c:delete val="0"/>
        <c:axPos val="b"/>
        <c:numFmt formatCode="General" sourceLinked="1"/>
        <c:majorTickMark val="cross"/>
        <c:minorTickMark val="none"/>
        <c:tickLblPos val="low"/>
        <c:txPr>
          <a:bodyPr rot="-270000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75"/>
          <c:min val="-75"/>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$/Acre</a:t>
                </a:r>
              </a:p>
            </c:rich>
          </c:tx>
          <c:overlay val="0"/>
        </c:title>
        <c:numFmt formatCode="&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6392376"/>
        <c:crosses val="autoZero"/>
        <c:crossBetween val="between"/>
        <c:majorUnit val="25"/>
      </c:valAx>
      <c:spPr>
        <a:solidFill>
          <a:schemeClr val="bg1">
            <a:lumMod val="85000"/>
          </a:schemeClr>
        </a:solidFill>
      </c:spPr>
    </c:plotArea>
    <c:legend>
      <c:legendPos val="r"/>
      <c:layout>
        <c:manualLayout>
          <c:xMode val="edge"/>
          <c:yMode val="edge"/>
          <c:x val="4.756239392337442E-2"/>
          <c:y val="0.94364160067384129"/>
          <c:w val="0.68846646819324264"/>
          <c:h val="4.3352661146583094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(HIDE)'!$A$3</c:f>
          <c:strCache>
            <c:ptCount val="1"/>
            <c:pt idx="0">
              <c:v>Manitoba Breakeven Yield Risk Ratio - 2022</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548198520639466"/>
          <c:y val="0.10162184534625479"/>
          <c:w val="0.83906346933905984"/>
          <c:h val="0.71181344639612354"/>
        </c:manualLayout>
      </c:layout>
      <c:barChart>
        <c:barDir val="col"/>
        <c:grouping val="clustered"/>
        <c:varyColors val="0"/>
        <c:ser>
          <c:idx val="0"/>
          <c:order val="0"/>
          <c:tx>
            <c:strRef>
              <c:f>'Chart data (HIDE)'!$L$6</c:f>
              <c:strCache>
                <c:ptCount val="1"/>
                <c:pt idx="0">
                  <c:v>Target Yield as % of B/E Yield</c:v>
                </c:pt>
              </c:strCache>
            </c:strRef>
          </c:tx>
          <c:spPr>
            <a:ln>
              <a:solidFill>
                <a:schemeClr val="tx1"/>
              </a:solidFill>
            </a:ln>
          </c:spPr>
          <c:invertIfNegative val="0"/>
          <c:dLbls>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(HIDE)'!$A$8:$A$13</c:f>
              <c:strCache>
                <c:ptCount val="6"/>
                <c:pt idx="0">
                  <c:v>Canola</c:v>
                </c:pt>
                <c:pt idx="1">
                  <c:v>Wheat - Hard Red Spring</c:v>
                </c:pt>
                <c:pt idx="2">
                  <c:v>Soybeans</c:v>
                </c:pt>
                <c:pt idx="3">
                  <c:v>Barley</c:v>
                </c:pt>
                <c:pt idx="4">
                  <c:v>Oats</c:v>
                </c:pt>
                <c:pt idx="5">
                  <c:v>Corn</c:v>
                </c:pt>
              </c:strCache>
            </c:strRef>
          </c:cat>
          <c:val>
            <c:numRef>
              <c:f>'Chart data (HIDE)'!$L$8:$L$13</c:f>
              <c:numCache>
                <c:formatCode>0%</c:formatCode>
                <c:ptCount val="6"/>
                <c:pt idx="0">
                  <c:v>1.098901098901099</c:v>
                </c:pt>
                <c:pt idx="1">
                  <c:v>1.02803738317757</c:v>
                </c:pt>
                <c:pt idx="2">
                  <c:v>1.1428571428571428</c:v>
                </c:pt>
                <c:pt idx="3">
                  <c:v>0.80841638981173869</c:v>
                </c:pt>
                <c:pt idx="4">
                  <c:v>1.0304219823356231</c:v>
                </c:pt>
                <c:pt idx="5">
                  <c:v>1.0746951219512195</c:v>
                </c:pt>
              </c:numCache>
            </c:numRef>
          </c:val>
          <c:extLst>
            <c:ext xmlns:c16="http://schemas.microsoft.com/office/drawing/2014/chart" uri="{C3380CC4-5D6E-409C-BE32-E72D297353CC}">
              <c16:uniqueId val="{00000000-67D3-4FD4-935D-683872528C0B}"/>
            </c:ext>
          </c:extLst>
        </c:ser>
        <c:dLbls>
          <c:showLegendKey val="0"/>
          <c:showVal val="0"/>
          <c:showCatName val="0"/>
          <c:showSerName val="0"/>
          <c:showPercent val="0"/>
          <c:showBubbleSize val="0"/>
        </c:dLbls>
        <c:gapWidth val="75"/>
        <c:overlap val="-25"/>
        <c:axId val="221321064"/>
        <c:axId val="1"/>
      </c:barChart>
      <c:catAx>
        <c:axId val="22132106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1321064"/>
        <c:crosses val="autoZero"/>
        <c:crossBetween val="between"/>
      </c:valAx>
      <c:spPr>
        <a:solidFill>
          <a:schemeClr val="bg1">
            <a:lumMod val="95000"/>
          </a:schemeClr>
        </a:solidFill>
      </c:spPr>
    </c:plotArea>
    <c:legend>
      <c:legendPos val="r"/>
      <c:layout>
        <c:manualLayout>
          <c:xMode val="edge"/>
          <c:yMode val="edge"/>
          <c:x val="0.30731720120350808"/>
          <c:y val="0.91616955066245465"/>
          <c:w val="0.3597563536265283"/>
          <c:h val="6.3872465043665949E-2"/>
        </c:manualLayout>
      </c:layout>
      <c:overlay val="0"/>
      <c:txPr>
        <a:bodyPr/>
        <a:lstStyle/>
        <a:p>
          <a:pPr>
            <a:defRPr sz="129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5375-44A2-95F6-B07BA286E9FF}"/>
              </c:ext>
            </c:extLst>
          </c:dPt>
          <c:dPt>
            <c:idx val="1"/>
            <c:bubble3D val="0"/>
            <c:extLst>
              <c:ext xmlns:c16="http://schemas.microsoft.com/office/drawing/2014/chart" uri="{C3380CC4-5D6E-409C-BE32-E72D297353CC}">
                <c16:uniqueId val="{00000001-5375-44A2-95F6-B07BA286E9FF}"/>
              </c:ext>
            </c:extLst>
          </c:dPt>
          <c:dLbls>
            <c:dLbl>
              <c:idx val="0"/>
              <c:layout>
                <c:manualLayout>
                  <c:x val="-0.17872617103300537"/>
                  <c:y val="-0.13300276654607363"/>
                </c:manualLayout>
              </c:layout>
              <c:spPr/>
              <c:txPr>
                <a:bodyPr/>
                <a:lstStyle/>
                <a:p>
                  <a:pPr>
                    <a:defRPr sz="1400" b="1"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375-44A2-95F6-B07BA286E9FF}"/>
                </c:ext>
              </c:extLst>
            </c:dLbl>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'For PPT (HIDE)'!$B$252:$B$253</c:f>
              <c:strCache>
                <c:ptCount val="2"/>
                <c:pt idx="0">
                  <c:v>Operating Costs</c:v>
                </c:pt>
                <c:pt idx="1">
                  <c:v>Margin Over Operating</c:v>
                </c:pt>
              </c:strCache>
            </c:strRef>
          </c:cat>
          <c:val>
            <c:numRef>
              <c:f>'For PPT (HIDE)'!$C$252:$C$253</c:f>
              <c:numCache>
                <c:formatCode>0%</c:formatCode>
                <c:ptCount val="2"/>
                <c:pt idx="0">
                  <c:v>0.65</c:v>
                </c:pt>
                <c:pt idx="1">
                  <c:v>0.35</c:v>
                </c:pt>
              </c:numCache>
            </c:numRef>
          </c:val>
          <c:extLst>
            <c:ext xmlns:c16="http://schemas.microsoft.com/office/drawing/2014/chart" uri="{C3380CC4-5D6E-409C-BE32-E72D297353CC}">
              <c16:uniqueId val="{00000002-5375-44A2-95F6-B07BA286E9F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3524797229262"/>
          <c:y val="0.12841435845962976"/>
          <c:w val="0.60647173195594306"/>
          <c:h val="0.77756139786338996"/>
        </c:manualLayout>
      </c:layout>
      <c:pieChart>
        <c:varyColors val="1"/>
        <c:ser>
          <c:idx val="0"/>
          <c:order val="0"/>
          <c:explosion val="25"/>
          <c:dPt>
            <c:idx val="0"/>
            <c:bubble3D val="0"/>
            <c:extLst>
              <c:ext xmlns:c16="http://schemas.microsoft.com/office/drawing/2014/chart" uri="{C3380CC4-5D6E-409C-BE32-E72D297353CC}">
                <c16:uniqueId val="{00000000-4EFA-418C-9B60-456FDF8DF655}"/>
              </c:ext>
            </c:extLst>
          </c:dPt>
          <c:dPt>
            <c:idx val="1"/>
            <c:bubble3D val="0"/>
            <c:extLst>
              <c:ext xmlns:c16="http://schemas.microsoft.com/office/drawing/2014/chart" uri="{C3380CC4-5D6E-409C-BE32-E72D297353CC}">
                <c16:uniqueId val="{00000001-4EFA-418C-9B60-456FDF8DF655}"/>
              </c:ext>
            </c:extLst>
          </c:dPt>
          <c:dPt>
            <c:idx val="2"/>
            <c:bubble3D val="0"/>
            <c:extLst>
              <c:ext xmlns:c16="http://schemas.microsoft.com/office/drawing/2014/chart" uri="{C3380CC4-5D6E-409C-BE32-E72D297353CC}">
                <c16:uniqueId val="{00000002-4EFA-418C-9B60-456FDF8DF655}"/>
              </c:ext>
            </c:extLst>
          </c:dPt>
          <c:dPt>
            <c:idx val="3"/>
            <c:bubble3D val="0"/>
            <c:extLst>
              <c:ext xmlns:c16="http://schemas.microsoft.com/office/drawing/2014/chart" uri="{C3380CC4-5D6E-409C-BE32-E72D297353CC}">
                <c16:uniqueId val="{00000003-4EFA-418C-9B60-456FDF8DF655}"/>
              </c:ext>
            </c:extLst>
          </c:dPt>
          <c:dLbls>
            <c:dLbl>
              <c:idx val="0"/>
              <c:layout>
                <c:manualLayout>
                  <c:x val="-0.14847374011358949"/>
                  <c:y val="-0.16041246898932154"/>
                </c:manualLayout>
              </c:layout>
              <c:spPr/>
              <c:txPr>
                <a:bodyPr/>
                <a:lstStyle/>
                <a:p>
                  <a:pPr>
                    <a:defRPr sz="14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EFA-418C-9B60-456FDF8DF655}"/>
                </c:ext>
              </c:extLst>
            </c:dLbl>
            <c:dLbl>
              <c:idx val="1"/>
              <c:layout>
                <c:manualLayout>
                  <c:x val="-3.5126800621494217E-2"/>
                  <c:y val="-3.121130406644375E-3"/>
                </c:manualLayout>
              </c:layout>
              <c:spPr/>
              <c:txPr>
                <a:bodyPr/>
                <a:lstStyle/>
                <a:p>
                  <a:pPr>
                    <a:defRPr sz="14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EFA-418C-9B60-456FDF8DF655}"/>
                </c:ext>
              </c:extLst>
            </c:dLbl>
            <c:dLbl>
              <c:idx val="2"/>
              <c:layout>
                <c:manualLayout>
                  <c:x val="-0.10072454989948999"/>
                  <c:y val="0.16207787725164491"/>
                </c:manualLayout>
              </c:layout>
              <c:spPr/>
              <c:txPr>
                <a:bodyPr/>
                <a:lstStyle/>
                <a:p>
                  <a:pPr>
                    <a:defRPr sz="14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EFA-418C-9B60-456FDF8DF655}"/>
                </c:ext>
              </c:extLst>
            </c:dLbl>
            <c:dLbl>
              <c:idx val="3"/>
              <c:layout>
                <c:manualLayout>
                  <c:x val="-0.17482889866457016"/>
                  <c:y val="1.9699025748865172E-3"/>
                </c:manualLayout>
              </c:layout>
              <c:spPr/>
              <c:txPr>
                <a:bodyPr/>
                <a:lstStyle/>
                <a:p>
                  <a:pPr>
                    <a:defRPr sz="14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EFA-418C-9B60-456FDF8DF655}"/>
                </c:ext>
              </c:extLst>
            </c:dLbl>
            <c:spPr>
              <a:noFill/>
              <a:ln w="25400">
                <a:noFill/>
              </a:ln>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'For PPT (HIDE)'!$B$256:$B$259</c:f>
              <c:strCache>
                <c:ptCount val="4"/>
                <c:pt idx="0">
                  <c:v>Operating Costs</c:v>
                </c:pt>
                <c:pt idx="1">
                  <c:v>Land Cost</c:v>
                </c:pt>
                <c:pt idx="2">
                  <c:v>Equipment Cost</c:v>
                </c:pt>
                <c:pt idx="3">
                  <c:v>Owner Withdrawl</c:v>
                </c:pt>
              </c:strCache>
            </c:strRef>
          </c:cat>
          <c:val>
            <c:numRef>
              <c:f>'For PPT (HIDE)'!$C$256:$C$259</c:f>
              <c:numCache>
                <c:formatCode>0%</c:formatCode>
                <c:ptCount val="4"/>
                <c:pt idx="0">
                  <c:v>0.65</c:v>
                </c:pt>
                <c:pt idx="1">
                  <c:v>0.18</c:v>
                </c:pt>
                <c:pt idx="2">
                  <c:v>0.12</c:v>
                </c:pt>
                <c:pt idx="3">
                  <c:v>0.05</c:v>
                </c:pt>
              </c:numCache>
            </c:numRef>
          </c:val>
          <c:extLst>
            <c:ext xmlns:c16="http://schemas.microsoft.com/office/drawing/2014/chart" uri="{C3380CC4-5D6E-409C-BE32-E72D297353CC}">
              <c16:uniqueId val="{00000004-4EFA-418C-9B60-456FDF8DF65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(HIDE)'!$AQ$26</c:f>
          <c:strCache>
            <c:ptCount val="1"/>
            <c:pt idx="0">
              <c:v>Manitoba Crop Income &amp; Expenses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0186957033973484"/>
          <c:y val="0.11047518517787569"/>
          <c:w val="0.87744958400263062"/>
          <c:h val="0.58772400675544834"/>
        </c:manualLayout>
      </c:layout>
      <c:barChart>
        <c:barDir val="col"/>
        <c:grouping val="clustered"/>
        <c:varyColors val="0"/>
        <c:ser>
          <c:idx val="0"/>
          <c:order val="0"/>
          <c:tx>
            <c:strRef>
              <c:f>'For PPT (HIDE)'!$F$6</c:f>
              <c:strCache>
                <c:ptCount val="1"/>
                <c:pt idx="0">
                  <c:v>Total Costs</c:v>
                </c:pt>
              </c:strCache>
            </c:strRef>
          </c:tx>
          <c:invertIfNegative val="0"/>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(HIDE)'!$F$7:$F$18</c:f>
              <c:numCache>
                <c:formatCode>"$"#,##0.00_);\("$"#,##0.00\)</c:formatCode>
                <c:ptCount val="12"/>
                <c:pt idx="0">
                  <c:v>409.68996092838097</c:v>
                </c:pt>
                <c:pt idx="1">
                  <c:v>366.32521765665604</c:v>
                </c:pt>
                <c:pt idx="2">
                  <c:v>367.45952932861326</c:v>
                </c:pt>
                <c:pt idx="3">
                  <c:v>347.7358773917889</c:v>
                </c:pt>
                <c:pt idx="4">
                  <c:v>331.20190601227409</c:v>
                </c:pt>
                <c:pt idx="5">
                  <c:v>524.87222822246645</c:v>
                </c:pt>
                <c:pt idx="6">
                  <c:v>378.35872620384356</c:v>
                </c:pt>
                <c:pt idx="7">
                  <c:v>354.97844091511826</c:v>
                </c:pt>
                <c:pt idx="8">
                  <c:v>334.41653097176834</c:v>
                </c:pt>
                <c:pt idx="9">
                  <c:v>293.32409376856936</c:v>
                </c:pt>
                <c:pt idx="10">
                  <c:v>315.97941787803893</c:v>
                </c:pt>
                <c:pt idx="11">
                  <c:v>482.31934686665568</c:v>
                </c:pt>
              </c:numCache>
            </c:numRef>
          </c:val>
          <c:extLst>
            <c:ext xmlns:c16="http://schemas.microsoft.com/office/drawing/2014/chart" uri="{C3380CC4-5D6E-409C-BE32-E72D297353CC}">
              <c16:uniqueId val="{00000000-2035-41AA-9BB9-E390F6653C2C}"/>
            </c:ext>
          </c:extLst>
        </c:ser>
        <c:ser>
          <c:idx val="1"/>
          <c:order val="1"/>
          <c:tx>
            <c:strRef>
              <c:f>'For PPT (HIDE)'!$J$6</c:f>
              <c:strCache>
                <c:ptCount val="1"/>
                <c:pt idx="0">
                  <c:v>Gross Revenue</c:v>
                </c:pt>
              </c:strCache>
            </c:strRef>
          </c:tx>
          <c:invertIfNegative val="0"/>
          <c:val>
            <c:numRef>
              <c:f>'For PPT (HIDE)'!$J$7:$J$18</c:f>
              <c:numCache>
                <c:formatCode>"$"#,##0.00</c:formatCode>
                <c:ptCount val="12"/>
                <c:pt idx="0">
                  <c:v>450</c:v>
                </c:pt>
                <c:pt idx="1">
                  <c:v>376.75</c:v>
                </c:pt>
                <c:pt idx="2">
                  <c:v>420</c:v>
                </c:pt>
                <c:pt idx="3">
                  <c:v>281.05</c:v>
                </c:pt>
                <c:pt idx="4">
                  <c:v>341.25</c:v>
                </c:pt>
                <c:pt idx="5">
                  <c:v>564</c:v>
                </c:pt>
                <c:pt idx="6">
                  <c:v>408</c:v>
                </c:pt>
                <c:pt idx="7">
                  <c:v>324.95</c:v>
                </c:pt>
                <c:pt idx="8">
                  <c:v>300</c:v>
                </c:pt>
                <c:pt idx="9">
                  <c:v>261</c:v>
                </c:pt>
                <c:pt idx="10">
                  <c:v>300</c:v>
                </c:pt>
                <c:pt idx="11">
                  <c:v>504.00000000000006</c:v>
                </c:pt>
              </c:numCache>
            </c:numRef>
          </c:val>
          <c:extLst>
            <c:ext xmlns:c16="http://schemas.microsoft.com/office/drawing/2014/chart" uri="{C3380CC4-5D6E-409C-BE32-E72D297353CC}">
              <c16:uniqueId val="{00000001-2035-41AA-9BB9-E390F6653C2C}"/>
            </c:ext>
          </c:extLst>
        </c:ser>
        <c:ser>
          <c:idx val="3"/>
          <c:order val="2"/>
          <c:tx>
            <c:strRef>
              <c:f>'For PPT (HIDE)'!$L$6</c:f>
              <c:strCache>
                <c:ptCount val="1"/>
                <c:pt idx="0">
                  <c:v>Margin Over Operating</c:v>
                </c:pt>
              </c:strCache>
            </c:strRef>
          </c:tx>
          <c:invertIfNegative val="0"/>
          <c:val>
            <c:numRef>
              <c:f>'For PPT (HIDE)'!$L$7:$L$18</c:f>
              <c:numCache>
                <c:formatCode>"$"#,##0.00</c:formatCode>
                <c:ptCount val="12"/>
                <c:pt idx="0">
                  <c:v>205.04956407161905</c:v>
                </c:pt>
                <c:pt idx="1">
                  <c:v>177.26116671834399</c:v>
                </c:pt>
                <c:pt idx="2">
                  <c:v>217.27999567138673</c:v>
                </c:pt>
                <c:pt idx="3">
                  <c:v>102.66673823321113</c:v>
                </c:pt>
                <c:pt idx="4">
                  <c:v>183.87400961272593</c:v>
                </c:pt>
                <c:pt idx="5">
                  <c:v>226.11314990253351</c:v>
                </c:pt>
                <c:pt idx="6">
                  <c:v>198.29493629615646</c:v>
                </c:pt>
                <c:pt idx="7">
                  <c:v>138.48543095988177</c:v>
                </c:pt>
                <c:pt idx="8">
                  <c:v>128.08634402823168</c:v>
                </c:pt>
                <c:pt idx="9">
                  <c:v>134.93166248143069</c:v>
                </c:pt>
                <c:pt idx="10">
                  <c:v>148.76010712196111</c:v>
                </c:pt>
                <c:pt idx="11">
                  <c:v>199.0204781333444</c:v>
                </c:pt>
              </c:numCache>
            </c:numRef>
          </c:val>
          <c:extLst>
            <c:ext xmlns:c16="http://schemas.microsoft.com/office/drawing/2014/chart" uri="{C3380CC4-5D6E-409C-BE32-E72D297353CC}">
              <c16:uniqueId val="{00000002-2035-41AA-9BB9-E390F6653C2C}"/>
            </c:ext>
          </c:extLst>
        </c:ser>
        <c:ser>
          <c:idx val="4"/>
          <c:order val="3"/>
          <c:tx>
            <c:strRef>
              <c:f>'For PPT (HIDE)'!$N$6</c:f>
              <c:strCache>
                <c:ptCount val="1"/>
                <c:pt idx="0">
                  <c:v>Margin Over Total Costs</c:v>
                </c:pt>
              </c:strCache>
            </c:strRef>
          </c:tx>
          <c:invertIfNegative val="0"/>
          <c:val>
            <c:numRef>
              <c:f>'For PPT (HIDE)'!$N$7:$N$18</c:f>
              <c:numCache>
                <c:formatCode>"$"#,##0.00</c:formatCode>
                <c:ptCount val="12"/>
                <c:pt idx="0">
                  <c:v>40.31003907161903</c:v>
                </c:pt>
                <c:pt idx="1">
                  <c:v>10.424782343343963</c:v>
                </c:pt>
                <c:pt idx="2">
                  <c:v>52.540470671386743</c:v>
                </c:pt>
                <c:pt idx="3">
                  <c:v>-66.685877391788893</c:v>
                </c:pt>
                <c:pt idx="4">
                  <c:v>10.048093987725906</c:v>
                </c:pt>
                <c:pt idx="5">
                  <c:v>39.127771777533553</c:v>
                </c:pt>
                <c:pt idx="6">
                  <c:v>29.64127379615644</c:v>
                </c:pt>
                <c:pt idx="7">
                  <c:v>-30.028440915118267</c:v>
                </c:pt>
                <c:pt idx="8">
                  <c:v>-34.416530971768339</c:v>
                </c:pt>
                <c:pt idx="9">
                  <c:v>-32.324093768569355</c:v>
                </c:pt>
                <c:pt idx="10">
                  <c:v>-15.97941787803893</c:v>
                </c:pt>
                <c:pt idx="11">
                  <c:v>21.680653133344379</c:v>
                </c:pt>
              </c:numCache>
            </c:numRef>
          </c:val>
          <c:extLst>
            <c:ext xmlns:c16="http://schemas.microsoft.com/office/drawing/2014/chart" uri="{C3380CC4-5D6E-409C-BE32-E72D297353CC}">
              <c16:uniqueId val="{00000003-2035-41AA-9BB9-E390F6653C2C}"/>
            </c:ext>
          </c:extLst>
        </c:ser>
        <c:dLbls>
          <c:showLegendKey val="0"/>
          <c:showVal val="0"/>
          <c:showCatName val="0"/>
          <c:showSerName val="0"/>
          <c:showPercent val="0"/>
          <c:showBubbleSize val="0"/>
        </c:dLbls>
        <c:gapWidth val="150"/>
        <c:axId val="221380288"/>
        <c:axId val="1"/>
      </c:barChart>
      <c:catAx>
        <c:axId val="221380288"/>
        <c:scaling>
          <c:orientation val="minMax"/>
        </c:scaling>
        <c:delete val="0"/>
        <c:axPos val="b"/>
        <c:numFmt formatCode="General" sourceLinked="1"/>
        <c:majorTickMark val="cross"/>
        <c:minorTickMark val="none"/>
        <c:tickLblPos val="low"/>
        <c:txPr>
          <a:bodyPr rot="-270000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$/Acre</a:t>
                </a:r>
              </a:p>
            </c:rich>
          </c:tx>
          <c:overlay val="0"/>
        </c:title>
        <c:numFmt formatCode="&quot;$&quot;#,##0.00_);\(&quot;$&quot;#,##0.00\)" sourceLinked="1"/>
        <c:majorTickMark val="in"/>
        <c:minorTickMark val="none"/>
        <c:tickLblPos val="nextTo"/>
        <c:spPr>
          <a:ln w="9525">
            <a:solidFill>
              <a:schemeClr val="accent1"/>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1380288"/>
        <c:crosses val="autoZero"/>
        <c:crossBetween val="between"/>
        <c:majorUnit val="50"/>
      </c:valAx>
      <c:spPr>
        <a:solidFill>
          <a:sysClr val="window" lastClr="FFFFFF">
            <a:lumMod val="85000"/>
          </a:sysClr>
        </a:solidFill>
      </c:spPr>
    </c:plotArea>
    <c:legend>
      <c:legendPos val="r"/>
      <c:layout>
        <c:manualLayout>
          <c:xMode val="edge"/>
          <c:yMode val="edge"/>
          <c:x val="0.10642792035932747"/>
          <c:y val="0.92843863790769166"/>
          <c:w val="0.80400465632172546"/>
          <c:h val="5.6497211591567842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(HIDE)'!$W$27</c:f>
          <c:strCache>
            <c:ptCount val="1"/>
            <c:pt idx="0">
              <c:v>Manitoba Crop Production Costs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barChart>
        <c:barDir val="col"/>
        <c:grouping val="stacked"/>
        <c:varyColors val="0"/>
        <c:ser>
          <c:idx val="0"/>
          <c:order val="0"/>
          <c:tx>
            <c:strRef>
              <c:f>'For PPT (HIDE)'!$C$6</c:f>
              <c:strCache>
                <c:ptCount val="1"/>
                <c:pt idx="0">
                  <c:v>A.  Operating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(HIDE)'!$X$29:$X$34</c:f>
              <c:numCache>
                <c:formatCode>"$"#,##0.00_);\("$"#,##0.00\)</c:formatCode>
                <c:ptCount val="6"/>
                <c:pt idx="0">
                  <c:v>244.95043592838095</c:v>
                </c:pt>
                <c:pt idx="1">
                  <c:v>199.48883328165601</c:v>
                </c:pt>
                <c:pt idx="2">
                  <c:v>202.72000432861327</c:v>
                </c:pt>
                <c:pt idx="3">
                  <c:v>178.38326176678888</c:v>
                </c:pt>
                <c:pt idx="4">
                  <c:v>157.37599038727407</c:v>
                </c:pt>
                <c:pt idx="5">
                  <c:v>337.88685009746649</c:v>
                </c:pt>
              </c:numCache>
            </c:numRef>
          </c:val>
          <c:extLst>
            <c:ext xmlns:c16="http://schemas.microsoft.com/office/drawing/2014/chart" uri="{C3380CC4-5D6E-409C-BE32-E72D297353CC}">
              <c16:uniqueId val="{00000000-62EB-4904-A3E5-9D6819D51BC5}"/>
            </c:ext>
          </c:extLst>
        </c:ser>
        <c:ser>
          <c:idx val="1"/>
          <c:order val="1"/>
          <c:tx>
            <c:strRef>
              <c:f>'For PPT (HIDE)'!$D$6</c:f>
              <c:strCache>
                <c:ptCount val="1"/>
                <c:pt idx="0">
                  <c:v>B.   Fixed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(HIDE)'!$Y$29:$Y$34</c:f>
              <c:numCache>
                <c:formatCode>"$"#,##0.00_);\("$"#,##0.00\)</c:formatCode>
                <c:ptCount val="6"/>
                <c:pt idx="0">
                  <c:v>134.73952500000001</c:v>
                </c:pt>
                <c:pt idx="1">
                  <c:v>136.83638437500002</c:v>
                </c:pt>
                <c:pt idx="2">
                  <c:v>134.73952500000001</c:v>
                </c:pt>
                <c:pt idx="3">
                  <c:v>139.35261562500003</c:v>
                </c:pt>
                <c:pt idx="4">
                  <c:v>143.82591562500002</c:v>
                </c:pt>
                <c:pt idx="5">
                  <c:v>156.98537812500001</c:v>
                </c:pt>
              </c:numCache>
            </c:numRef>
          </c:val>
          <c:extLst>
            <c:ext xmlns:c16="http://schemas.microsoft.com/office/drawing/2014/chart" uri="{C3380CC4-5D6E-409C-BE32-E72D297353CC}">
              <c16:uniqueId val="{00000001-62EB-4904-A3E5-9D6819D51BC5}"/>
            </c:ext>
          </c:extLst>
        </c:ser>
        <c:ser>
          <c:idx val="2"/>
          <c:order val="2"/>
          <c:tx>
            <c:strRef>
              <c:f>'For PPT (HIDE)'!$E$6</c:f>
              <c:strCache>
                <c:ptCount val="1"/>
                <c:pt idx="0">
                  <c:v>C. Labour</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(HIDE)'!$Z$29:$Z$34</c:f>
              <c:numCache>
                <c:formatCode>"$"#,##0.00_);\("$"#,##0.00\)</c:formatCode>
                <c:ptCount val="6"/>
                <c:pt idx="0">
                  <c:v>30</c:v>
                </c:pt>
                <c:pt idx="1">
                  <c:v>30</c:v>
                </c:pt>
                <c:pt idx="2">
                  <c:v>30</c:v>
                </c:pt>
                <c:pt idx="3">
                  <c:v>30</c:v>
                </c:pt>
                <c:pt idx="4">
                  <c:v>30</c:v>
                </c:pt>
                <c:pt idx="5">
                  <c:v>30</c:v>
                </c:pt>
              </c:numCache>
            </c:numRef>
          </c:val>
          <c:extLst>
            <c:ext xmlns:c16="http://schemas.microsoft.com/office/drawing/2014/chart" uri="{C3380CC4-5D6E-409C-BE32-E72D297353CC}">
              <c16:uniqueId val="{00000002-62EB-4904-A3E5-9D6819D51BC5}"/>
            </c:ext>
          </c:extLst>
        </c:ser>
        <c:dLbls>
          <c:showLegendKey val="0"/>
          <c:showVal val="0"/>
          <c:showCatName val="0"/>
          <c:showSerName val="0"/>
          <c:showPercent val="0"/>
          <c:showBubbleSize val="0"/>
        </c:dLbls>
        <c:gapWidth val="75"/>
        <c:overlap val="100"/>
        <c:axId val="221380944"/>
        <c:axId val="1"/>
      </c:barChart>
      <c:catAx>
        <c:axId val="221380944"/>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_);\(&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21380944"/>
        <c:crosses val="autoZero"/>
        <c:crossBetween val="between"/>
      </c:valAx>
      <c:spPr>
        <a:solidFill>
          <a:schemeClr val="bg1">
            <a:lumMod val="85000"/>
          </a:schemeClr>
        </a:solidFill>
      </c:spPr>
    </c:plotArea>
    <c:legend>
      <c:legendPos val="b"/>
      <c:layout>
        <c:manualLayout>
          <c:xMode val="edge"/>
          <c:yMode val="edge"/>
          <c:x val="9.8965987022883131E-2"/>
          <c:y val="0.93072818529262791"/>
          <c:w val="0.69128501166093248"/>
          <c:h val="5.3285997145093744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(HIDE)'!$AQ$27</c:f>
          <c:strCache>
            <c:ptCount val="1"/>
            <c:pt idx="0">
              <c:v>Manitoba Crop Marginal Returns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4322764424475712"/>
          <c:y val="0.10366696780541364"/>
          <c:w val="0.77204279743278115"/>
          <c:h val="0.73934103605542112"/>
        </c:manualLayout>
      </c:layout>
      <c:barChart>
        <c:barDir val="col"/>
        <c:grouping val="clustered"/>
        <c:varyColors val="0"/>
        <c:ser>
          <c:idx val="0"/>
          <c:order val="0"/>
          <c:tx>
            <c:strRef>
              <c:f>'For PPT (HIDE)'!$L$6</c:f>
              <c:strCache>
                <c:ptCount val="1"/>
                <c:pt idx="0">
                  <c:v>Margin Over Operating</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(HIDE)'!$AT$29:$AT$34</c:f>
              <c:numCache>
                <c:formatCode>"$"#,##0.00;\("$"#,##0.00\)</c:formatCode>
                <c:ptCount val="6"/>
                <c:pt idx="0">
                  <c:v>205.04956407161905</c:v>
                </c:pt>
                <c:pt idx="1">
                  <c:v>177.26116671834399</c:v>
                </c:pt>
                <c:pt idx="2">
                  <c:v>217.27999567138673</c:v>
                </c:pt>
                <c:pt idx="3">
                  <c:v>102.66673823321113</c:v>
                </c:pt>
                <c:pt idx="4">
                  <c:v>183.87400961272593</c:v>
                </c:pt>
                <c:pt idx="5">
                  <c:v>226.11314990253351</c:v>
                </c:pt>
              </c:numCache>
            </c:numRef>
          </c:val>
          <c:extLst>
            <c:ext xmlns:c16="http://schemas.microsoft.com/office/drawing/2014/chart" uri="{C3380CC4-5D6E-409C-BE32-E72D297353CC}">
              <c16:uniqueId val="{00000000-3350-4A6A-8262-4A7A14B54924}"/>
            </c:ext>
          </c:extLst>
        </c:ser>
        <c:dLbls>
          <c:showLegendKey val="0"/>
          <c:showVal val="0"/>
          <c:showCatName val="0"/>
          <c:showSerName val="0"/>
          <c:showPercent val="0"/>
          <c:showBubbleSize val="0"/>
        </c:dLbls>
        <c:gapWidth val="75"/>
        <c:overlap val="-25"/>
        <c:axId val="221373728"/>
        <c:axId val="1"/>
      </c:barChart>
      <c:catAx>
        <c:axId val="221373728"/>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1373728"/>
        <c:crosses val="autoZero"/>
        <c:crossBetween val="between"/>
      </c:valAx>
      <c:spPr>
        <a:solidFill>
          <a:schemeClr val="bg1">
            <a:lumMod val="85000"/>
          </a:schemeClr>
        </a:solidFill>
      </c:spPr>
    </c:plotArea>
    <c:legend>
      <c:legendPos val="r"/>
      <c:layout>
        <c:manualLayout>
          <c:xMode val="edge"/>
          <c:yMode val="edge"/>
          <c:x val="0.30945560684224815"/>
          <c:y val="0.92579498243347857"/>
          <c:w val="0.38252149515793288"/>
          <c:h val="5.3003531626609535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(HIDE)'!$AC$27</c:f>
          <c:strCache>
            <c:ptCount val="1"/>
            <c:pt idx="0">
              <c:v>Manitoba Breakeven Yields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1826466538421532"/>
          <c:y val="0.10366696780541364"/>
          <c:w val="0.80516940596329345"/>
          <c:h val="0.72536898053318621"/>
        </c:manualLayout>
      </c:layout>
      <c:barChart>
        <c:barDir val="col"/>
        <c:grouping val="clustered"/>
        <c:varyColors val="0"/>
        <c:ser>
          <c:idx val="0"/>
          <c:order val="0"/>
          <c:tx>
            <c:strRef>
              <c:f>'For PPT (HIDE)'!$Q$6</c:f>
              <c:strCache>
                <c:ptCount val="1"/>
                <c:pt idx="0">
                  <c:v>B/E Yield Over Op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(HIDE)'!$AD$29:$AD$34</c:f>
              <c:numCache>
                <c:formatCode>#,##0.0_ ;\-#,##0.0\ </c:formatCode>
                <c:ptCount val="6"/>
                <c:pt idx="0">
                  <c:v>21.8</c:v>
                </c:pt>
                <c:pt idx="1">
                  <c:v>29.1</c:v>
                </c:pt>
                <c:pt idx="2">
                  <c:v>19.3</c:v>
                </c:pt>
                <c:pt idx="3">
                  <c:v>46.3</c:v>
                </c:pt>
                <c:pt idx="4">
                  <c:v>48.4</c:v>
                </c:pt>
                <c:pt idx="5">
                  <c:v>84.5</c:v>
                </c:pt>
              </c:numCache>
            </c:numRef>
          </c:val>
          <c:extLst>
            <c:ext xmlns:c16="http://schemas.microsoft.com/office/drawing/2014/chart" uri="{C3380CC4-5D6E-409C-BE32-E72D297353CC}">
              <c16:uniqueId val="{00000000-D580-41F3-91B3-2FF669E9647D}"/>
            </c:ext>
          </c:extLst>
        </c:ser>
        <c:dLbls>
          <c:showLegendKey val="0"/>
          <c:showVal val="0"/>
          <c:showCatName val="0"/>
          <c:showSerName val="0"/>
          <c:showPercent val="0"/>
          <c:showBubbleSize val="0"/>
        </c:dLbls>
        <c:gapWidth val="75"/>
        <c:overlap val="-25"/>
        <c:axId val="221378648"/>
        <c:axId val="1"/>
      </c:barChart>
      <c:catAx>
        <c:axId val="221378648"/>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0_ ;\-#,##0.0\ "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1378648"/>
        <c:crosses val="autoZero"/>
        <c:crossBetween val="between"/>
      </c:valAx>
      <c:spPr>
        <a:solidFill>
          <a:schemeClr val="bg1">
            <a:lumMod val="85000"/>
          </a:schemeClr>
        </a:solidFill>
      </c:spPr>
    </c:plotArea>
    <c:legend>
      <c:legendPos val="r"/>
      <c:layout>
        <c:manualLayout>
          <c:xMode val="edge"/>
          <c:yMode val="edge"/>
          <c:x val="0.30472140122885782"/>
          <c:y val="0.93992936746780997"/>
          <c:w val="0.38769728282532012"/>
          <c:h val="5.3003531626609535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(HIDE)'!$AC$27</c:f>
          <c:strCache>
            <c:ptCount val="1"/>
            <c:pt idx="0">
              <c:v>Manitoba Breakeven Yields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2798363538195201"/>
          <c:y val="0.10366696780541364"/>
          <c:w val="0.81900872163316141"/>
          <c:h val="0.73549853742649784"/>
        </c:manualLayout>
      </c:layout>
      <c:barChart>
        <c:barDir val="col"/>
        <c:grouping val="clustered"/>
        <c:varyColors val="0"/>
        <c:ser>
          <c:idx val="0"/>
          <c:order val="0"/>
          <c:tx>
            <c:strRef>
              <c:f>'For PPT (HIDE)'!$S$6</c:f>
              <c:strCache>
                <c:ptCount val="1"/>
                <c:pt idx="0">
                  <c:v>Breakeven Yield Over Total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(HIDE)'!$AF$29:$AF$34</c:f>
              <c:numCache>
                <c:formatCode>#,##0.0_ ;\-#,##0.0\ </c:formatCode>
                <c:ptCount val="6"/>
                <c:pt idx="0">
                  <c:v>36.4</c:v>
                </c:pt>
                <c:pt idx="1">
                  <c:v>53.5</c:v>
                </c:pt>
                <c:pt idx="2">
                  <c:v>35</c:v>
                </c:pt>
                <c:pt idx="3">
                  <c:v>90.3</c:v>
                </c:pt>
                <c:pt idx="4">
                  <c:v>101.9</c:v>
                </c:pt>
                <c:pt idx="5">
                  <c:v>131.19999999999999</c:v>
                </c:pt>
              </c:numCache>
            </c:numRef>
          </c:val>
          <c:extLst>
            <c:ext xmlns:c16="http://schemas.microsoft.com/office/drawing/2014/chart" uri="{C3380CC4-5D6E-409C-BE32-E72D297353CC}">
              <c16:uniqueId val="{00000000-4ECC-48E8-9D4B-6BAFBFF89942}"/>
            </c:ext>
          </c:extLst>
        </c:ser>
        <c:dLbls>
          <c:showLegendKey val="0"/>
          <c:showVal val="0"/>
          <c:showCatName val="0"/>
          <c:showSerName val="0"/>
          <c:showPercent val="0"/>
          <c:showBubbleSize val="0"/>
        </c:dLbls>
        <c:gapWidth val="75"/>
        <c:overlap val="-25"/>
        <c:axId val="221374384"/>
        <c:axId val="1"/>
      </c:barChart>
      <c:catAx>
        <c:axId val="22137438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0_ ;\-#,##0.0\ "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1374384"/>
        <c:crosses val="autoZero"/>
        <c:crossBetween val="between"/>
        <c:majorUnit val="10"/>
      </c:valAx>
      <c:spPr>
        <a:solidFill>
          <a:schemeClr val="bg1">
            <a:lumMod val="85000"/>
          </a:schemeClr>
        </a:solidFill>
      </c:spPr>
    </c:plotArea>
    <c:legend>
      <c:legendPos val="r"/>
      <c:layout>
        <c:manualLayout>
          <c:xMode val="edge"/>
          <c:yMode val="edge"/>
          <c:x val="0.23495701487816176"/>
          <c:y val="0.92579498243347857"/>
          <c:w val="0.53151858169809119"/>
          <c:h val="5.3003531626609535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(HIDE)'!$AQ$27</c:f>
          <c:strCache>
            <c:ptCount val="1"/>
            <c:pt idx="0">
              <c:v>Manitoba Crop Marginal Returns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352097736904991"/>
          <c:y val="9.9235077606800406E-2"/>
          <c:w val="0.80022452763118979"/>
          <c:h val="0.80398345886040956"/>
        </c:manualLayout>
      </c:layout>
      <c:barChart>
        <c:barDir val="col"/>
        <c:grouping val="clustered"/>
        <c:varyColors val="0"/>
        <c:ser>
          <c:idx val="0"/>
          <c:order val="0"/>
          <c:tx>
            <c:strRef>
              <c:f>'For PPT (HIDE)'!$M$6</c:f>
              <c:strCache>
                <c:ptCount val="1"/>
                <c:pt idx="0">
                  <c:v>Margin Over Operating &amp; Fixed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(HIDE)'!$AU$29:$AU$34</c:f>
              <c:numCache>
                <c:formatCode>"$"#,##0.00;\("$"#,##0.00\)</c:formatCode>
                <c:ptCount val="6"/>
                <c:pt idx="0">
                  <c:v>70.31003907161903</c:v>
                </c:pt>
                <c:pt idx="1">
                  <c:v>40.424782343343963</c:v>
                </c:pt>
                <c:pt idx="2">
                  <c:v>82.540470671386743</c:v>
                </c:pt>
                <c:pt idx="3">
                  <c:v>-36.685877391788893</c:v>
                </c:pt>
                <c:pt idx="4">
                  <c:v>40.048093987725906</c:v>
                </c:pt>
                <c:pt idx="5">
                  <c:v>69.127771777533496</c:v>
                </c:pt>
              </c:numCache>
            </c:numRef>
          </c:val>
          <c:extLst>
            <c:ext xmlns:c16="http://schemas.microsoft.com/office/drawing/2014/chart" uri="{C3380CC4-5D6E-409C-BE32-E72D297353CC}">
              <c16:uniqueId val="{00000000-B850-4B9B-BD42-EE194ADE9EC7}"/>
            </c:ext>
          </c:extLst>
        </c:ser>
        <c:dLbls>
          <c:showLegendKey val="0"/>
          <c:showVal val="0"/>
          <c:showCatName val="0"/>
          <c:showSerName val="0"/>
          <c:showPercent val="0"/>
          <c:showBubbleSize val="0"/>
        </c:dLbls>
        <c:gapWidth val="75"/>
        <c:overlap val="-25"/>
        <c:axId val="226970536"/>
        <c:axId val="1"/>
      </c:barChart>
      <c:catAx>
        <c:axId val="22697053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6970536"/>
        <c:crosses val="autoZero"/>
        <c:crossBetween val="between"/>
      </c:valAx>
      <c:spPr>
        <a:solidFill>
          <a:schemeClr val="bg1">
            <a:lumMod val="85000"/>
          </a:schemeClr>
        </a:solidFill>
      </c:spPr>
    </c:plotArea>
    <c:legend>
      <c:legendPos val="r"/>
      <c:layout>
        <c:manualLayout>
          <c:xMode val="edge"/>
          <c:yMode val="edge"/>
          <c:x val="0.24641837873714062"/>
          <c:y val="0.92687225133647588"/>
          <c:w val="0.49999999999999994"/>
          <c:h val="5.1020461907144599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(HIDE)'!$AQ$27</c:f>
          <c:strCache>
            <c:ptCount val="1"/>
            <c:pt idx="0">
              <c:v>Manitoba Crop Marginal Returns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352097736904991"/>
          <c:y val="0.10141498053668559"/>
          <c:w val="0.80145012830365714"/>
          <c:h val="0.70399779581394784"/>
        </c:manualLayout>
      </c:layout>
      <c:barChart>
        <c:barDir val="col"/>
        <c:grouping val="clustered"/>
        <c:varyColors val="0"/>
        <c:ser>
          <c:idx val="0"/>
          <c:order val="0"/>
          <c:tx>
            <c:strRef>
              <c:f>'For PPT (HIDE)'!$N$6</c:f>
              <c:strCache>
                <c:ptCount val="1"/>
                <c:pt idx="0">
                  <c:v>Margin Over Total Costs</c:v>
                </c:pt>
              </c:strCache>
            </c:strRef>
          </c:tx>
          <c:invertIfNegative val="0"/>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(HIDE)'!$AV$29:$AV$34</c:f>
              <c:numCache>
                <c:formatCode>"$"#,##0.00;\("$"#,##0.00\)</c:formatCode>
                <c:ptCount val="6"/>
                <c:pt idx="0">
                  <c:v>40.31003907161903</c:v>
                </c:pt>
                <c:pt idx="1">
                  <c:v>10.424782343343963</c:v>
                </c:pt>
                <c:pt idx="2">
                  <c:v>52.540470671386743</c:v>
                </c:pt>
                <c:pt idx="3">
                  <c:v>-66.685877391788893</c:v>
                </c:pt>
                <c:pt idx="4">
                  <c:v>10.048093987725906</c:v>
                </c:pt>
                <c:pt idx="5">
                  <c:v>39.127771777533553</c:v>
                </c:pt>
              </c:numCache>
            </c:numRef>
          </c:val>
          <c:extLst>
            <c:ext xmlns:c16="http://schemas.microsoft.com/office/drawing/2014/chart" uri="{C3380CC4-5D6E-409C-BE32-E72D297353CC}">
              <c16:uniqueId val="{00000000-6931-4D14-A0AF-2E67504B935F}"/>
            </c:ext>
          </c:extLst>
        </c:ser>
        <c:dLbls>
          <c:showLegendKey val="0"/>
          <c:showVal val="0"/>
          <c:showCatName val="0"/>
          <c:showSerName val="0"/>
          <c:showPercent val="0"/>
          <c:showBubbleSize val="0"/>
        </c:dLbls>
        <c:gapWidth val="75"/>
        <c:overlap val="-25"/>
        <c:axId val="226972176"/>
        <c:axId val="1"/>
      </c:barChart>
      <c:catAx>
        <c:axId val="22697217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6972176"/>
        <c:crosses val="autoZero"/>
        <c:crossBetween val="between"/>
      </c:valAx>
      <c:spPr>
        <a:solidFill>
          <a:schemeClr val="bg1">
            <a:lumMod val="85000"/>
          </a:schemeClr>
        </a:solidFill>
      </c:spPr>
    </c:plotArea>
    <c:legend>
      <c:legendPos val="r"/>
      <c:layout>
        <c:manualLayout>
          <c:xMode val="edge"/>
          <c:yMode val="edge"/>
          <c:x val="0.30229221347331581"/>
          <c:y val="0.92508782556026647"/>
          <c:w val="0.3954154222101548"/>
          <c:h val="5.2264800233304154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(HIDE)'!$AC$27</c:f>
          <c:strCache>
            <c:ptCount val="1"/>
            <c:pt idx="0">
              <c:v>Manitoba Breakeven Yields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8.7427576096186566E-2"/>
          <c:y val="9.9235077606800406E-2"/>
          <c:w val="0.81247694003634197"/>
          <c:h val="0.72373506093226458"/>
        </c:manualLayout>
      </c:layout>
      <c:barChart>
        <c:barDir val="col"/>
        <c:grouping val="clustered"/>
        <c:varyColors val="0"/>
        <c:ser>
          <c:idx val="0"/>
          <c:order val="0"/>
          <c:tx>
            <c:strRef>
              <c:f>'For PPT (HIDE)'!$AJ$28</c:f>
              <c:strCache>
                <c:ptCount val="1"/>
                <c:pt idx="0">
                  <c:v>Target or Average Yield as % of B/E Yield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(HIDE)'!$AJ$29:$AJ$34</c:f>
              <c:numCache>
                <c:formatCode>0.0%</c:formatCode>
                <c:ptCount val="6"/>
                <c:pt idx="0">
                  <c:v>1.098901098901099</c:v>
                </c:pt>
                <c:pt idx="1">
                  <c:v>1.02803738317757</c:v>
                </c:pt>
                <c:pt idx="2">
                  <c:v>1.1428571428571428</c:v>
                </c:pt>
                <c:pt idx="3">
                  <c:v>0.80841638981173869</c:v>
                </c:pt>
                <c:pt idx="4">
                  <c:v>1.0304219823356231</c:v>
                </c:pt>
                <c:pt idx="5">
                  <c:v>1.0746951219512195</c:v>
                </c:pt>
              </c:numCache>
            </c:numRef>
          </c:val>
          <c:extLst>
            <c:ext xmlns:c16="http://schemas.microsoft.com/office/drawing/2014/chart" uri="{C3380CC4-5D6E-409C-BE32-E72D297353CC}">
              <c16:uniqueId val="{00000000-4C5D-46D3-8CA7-317A8CC1224C}"/>
            </c:ext>
          </c:extLst>
        </c:ser>
        <c:dLbls>
          <c:showLegendKey val="0"/>
          <c:showVal val="0"/>
          <c:showCatName val="0"/>
          <c:showSerName val="0"/>
          <c:showPercent val="0"/>
          <c:showBubbleSize val="0"/>
        </c:dLbls>
        <c:gapWidth val="75"/>
        <c:overlap val="-25"/>
        <c:axId val="226973488"/>
        <c:axId val="1"/>
      </c:barChart>
      <c:catAx>
        <c:axId val="226973488"/>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6973488"/>
        <c:crosses val="autoZero"/>
        <c:crossBetween val="between"/>
      </c:valAx>
      <c:spPr>
        <a:solidFill>
          <a:schemeClr val="bg1">
            <a:lumMod val="85000"/>
          </a:schemeClr>
        </a:solidFill>
      </c:spPr>
    </c:plotArea>
    <c:legend>
      <c:legendPos val="r"/>
      <c:layout>
        <c:manualLayout>
          <c:xMode val="edge"/>
          <c:yMode val="edge"/>
          <c:x val="0.13304740202603615"/>
          <c:y val="0.91666815895504694"/>
          <c:w val="0.59942858861839976"/>
          <c:h val="6.462591841571641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'Chart data (HIDE)'!$A$4</c:f>
          <c:strCache>
            <c:ptCount val="1"/>
            <c:pt idx="0">
              <c:v>Manitoba Risk &amp; Reward Analysis - 2022</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64897809079047464"/>
        </c:manualLayout>
      </c:layout>
      <c:barChart>
        <c:barDir val="col"/>
        <c:grouping val="clustered"/>
        <c:varyColors val="0"/>
        <c:ser>
          <c:idx val="0"/>
          <c:order val="0"/>
          <c:tx>
            <c:strRef>
              <c:f>'Chart data (HIDE)'!$G$6</c:f>
              <c:strCache>
                <c:ptCount val="1"/>
                <c:pt idx="0">
                  <c:v>Return on Investment (Reward)</c:v>
                </c:pt>
              </c:strCache>
            </c:strRef>
          </c:tx>
          <c:spPr>
            <a:solidFill>
              <a:schemeClr val="accent1"/>
            </a:solidFill>
            <a:ln>
              <a:solidFill>
                <a:schemeClr val="tx1"/>
              </a:soli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(HIDE)'!$A$8:$A$13</c:f>
              <c:strCache>
                <c:ptCount val="6"/>
                <c:pt idx="0">
                  <c:v>Canola</c:v>
                </c:pt>
                <c:pt idx="1">
                  <c:v>Wheat - Hard Red Spring</c:v>
                </c:pt>
                <c:pt idx="2">
                  <c:v>Soybeans</c:v>
                </c:pt>
                <c:pt idx="3">
                  <c:v>Barley</c:v>
                </c:pt>
                <c:pt idx="4">
                  <c:v>Oats</c:v>
                </c:pt>
                <c:pt idx="5">
                  <c:v>Corn</c:v>
                </c:pt>
              </c:strCache>
            </c:strRef>
          </c:cat>
          <c:val>
            <c:numRef>
              <c:f>'Chart data (HIDE)'!$G$8:$G$13</c:f>
              <c:numCache>
                <c:formatCode>0.0%</c:formatCode>
                <c:ptCount val="6"/>
                <c:pt idx="0">
                  <c:v>9.8391571470958589E-2</c:v>
                </c:pt>
                <c:pt idx="1">
                  <c:v>2.8457725105659398E-2</c:v>
                </c:pt>
                <c:pt idx="2">
                  <c:v>0.14298301303379896</c:v>
                </c:pt>
                <c:pt idx="3">
                  <c:v>-0.19177163395382091</c:v>
                </c:pt>
                <c:pt idx="4">
                  <c:v>3.0338273437815092E-2</c:v>
                </c:pt>
                <c:pt idx="5">
                  <c:v>7.4547232018816773E-2</c:v>
                </c:pt>
              </c:numCache>
            </c:numRef>
          </c:val>
          <c:extLst>
            <c:ext xmlns:c16="http://schemas.microsoft.com/office/drawing/2014/chart" uri="{C3380CC4-5D6E-409C-BE32-E72D297353CC}">
              <c16:uniqueId val="{00000000-C68C-441A-8F45-8347170334BA}"/>
            </c:ext>
          </c:extLst>
        </c:ser>
        <c:dLbls>
          <c:showLegendKey val="0"/>
          <c:showVal val="0"/>
          <c:showCatName val="0"/>
          <c:showSerName val="0"/>
          <c:showPercent val="0"/>
          <c:showBubbleSize val="0"/>
        </c:dLbls>
        <c:gapWidth val="75"/>
        <c:axId val="221319752"/>
        <c:axId val="1"/>
      </c:barChart>
      <c:lineChart>
        <c:grouping val="standard"/>
        <c:varyColors val="0"/>
        <c:ser>
          <c:idx val="2"/>
          <c:order val="1"/>
          <c:tx>
            <c:strRef>
              <c:f>'Chart data (HIDE)'!$E$6</c:f>
              <c:strCache>
                <c:ptCount val="1"/>
                <c:pt idx="0">
                  <c:v>80% Coverage of Total Costs (Risk)</c:v>
                </c:pt>
              </c:strCache>
            </c:strRef>
          </c:tx>
          <c:spPr>
            <a:ln w="31750">
              <a:solidFill>
                <a:schemeClr val="tx1"/>
              </a:solidFill>
              <a:prstDash val="sysDash"/>
            </a:ln>
          </c:spP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data (HIDE)'!$E$8:$E$13</c:f>
              <c:numCache>
                <c:formatCode>0%</c:formatCode>
                <c:ptCount val="6"/>
                <c:pt idx="0">
                  <c:v>0.80652696309969563</c:v>
                </c:pt>
                <c:pt idx="1">
                  <c:v>0.7479659788445403</c:v>
                </c:pt>
                <c:pt idx="2">
                  <c:v>0.76920144244573452</c:v>
                </c:pt>
                <c:pt idx="3">
                  <c:v>0.63022314994861917</c:v>
                </c:pt>
                <c:pt idx="4">
                  <c:v>0.79285775604886888</c:v>
                </c:pt>
                <c:pt idx="5">
                  <c:v>0.65910440941327797</c:v>
                </c:pt>
              </c:numCache>
            </c:numRef>
          </c:val>
          <c:smooth val="0"/>
          <c:extLst>
            <c:ext xmlns:c16="http://schemas.microsoft.com/office/drawing/2014/chart" uri="{C3380CC4-5D6E-409C-BE32-E72D297353CC}">
              <c16:uniqueId val="{00000001-C68C-441A-8F45-8347170334BA}"/>
            </c:ext>
          </c:extLst>
        </c:ser>
        <c:dLbls>
          <c:showLegendKey val="0"/>
          <c:showVal val="0"/>
          <c:showCatName val="0"/>
          <c:showSerName val="0"/>
          <c:showPercent val="0"/>
          <c:showBubbleSize val="0"/>
        </c:dLbls>
        <c:marker val="1"/>
        <c:smooth val="0"/>
        <c:axId val="3"/>
        <c:axId val="4"/>
      </c:lineChart>
      <c:catAx>
        <c:axId val="221319752"/>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1319752"/>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95000"/>
          </a:schemeClr>
        </a:solidFill>
      </c:spPr>
    </c:plotArea>
    <c:legend>
      <c:legendPos val="r"/>
      <c:layout>
        <c:manualLayout>
          <c:xMode val="edge"/>
          <c:yMode val="edge"/>
          <c:x val="6.6095471236230108E-2"/>
          <c:y val="0.88400000000000001"/>
          <c:w val="0.8947373561168992"/>
          <c:h val="7.1999999999999953E-2"/>
        </c:manualLayout>
      </c:layout>
      <c:overlay val="0"/>
      <c:txPr>
        <a:bodyPr/>
        <a:lstStyle/>
        <a:p>
          <a:pPr>
            <a:defRPr sz="129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(HIDE)'!$AX$27</c:f>
          <c:strCache>
            <c:ptCount val="1"/>
            <c:pt idx="0">
              <c:v>Manitoba - 80% Insured Value AgriInsurance Risk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1883379511645155"/>
          <c:y val="0.15365900749652028"/>
          <c:w val="0.79806828006190023"/>
          <c:h val="0.69828971918326355"/>
        </c:manualLayout>
      </c:layout>
      <c:barChart>
        <c:barDir val="col"/>
        <c:grouping val="clustered"/>
        <c:varyColors val="0"/>
        <c:ser>
          <c:idx val="0"/>
          <c:order val="0"/>
          <c:tx>
            <c:strRef>
              <c:f>'For PPT (HIDE)'!$AZ$28</c:f>
              <c:strCache>
                <c:ptCount val="1"/>
                <c:pt idx="0">
                  <c:v>80% Insured Value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(HIDE)'!$AZ$29:$AZ$34</c:f>
              <c:numCache>
                <c:formatCode>"$"#,##0_);\("$"#,##0\)</c:formatCode>
                <c:ptCount val="6"/>
                <c:pt idx="0">
                  <c:v>330.42600000000004</c:v>
                </c:pt>
                <c:pt idx="1">
                  <c:v>273.99880000000002</c:v>
                </c:pt>
                <c:pt idx="2">
                  <c:v>282.65039999999999</c:v>
                </c:pt>
                <c:pt idx="3">
                  <c:v>219.15120000000002</c:v>
                </c:pt>
                <c:pt idx="4">
                  <c:v>262.596</c:v>
                </c:pt>
                <c:pt idx="5">
                  <c:v>345.94560000000001</c:v>
                </c:pt>
              </c:numCache>
            </c:numRef>
          </c:val>
          <c:extLst>
            <c:ext xmlns:c16="http://schemas.microsoft.com/office/drawing/2014/chart" uri="{C3380CC4-5D6E-409C-BE32-E72D297353CC}">
              <c16:uniqueId val="{00000000-EFBE-496E-9981-F976CF4C49EA}"/>
            </c:ext>
          </c:extLst>
        </c:ser>
        <c:dLbls>
          <c:showLegendKey val="0"/>
          <c:showVal val="0"/>
          <c:showCatName val="0"/>
          <c:showSerName val="0"/>
          <c:showPercent val="0"/>
          <c:showBubbleSize val="0"/>
        </c:dLbls>
        <c:gapWidth val="75"/>
        <c:axId val="226967584"/>
        <c:axId val="1"/>
      </c:barChart>
      <c:lineChart>
        <c:grouping val="standard"/>
        <c:varyColors val="0"/>
        <c:ser>
          <c:idx val="1"/>
          <c:order val="1"/>
          <c:tx>
            <c:strRef>
              <c:f>'For PPT (HIDE)'!$BB$28</c:f>
              <c:strCache>
                <c:ptCount val="1"/>
                <c:pt idx="0">
                  <c:v>Coverage of Operating Costs</c:v>
                </c:pt>
              </c:strCache>
            </c:strRef>
          </c:tx>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(HIDE)'!$BB$29:$BB$34</c:f>
              <c:numCache>
                <c:formatCode>0%</c:formatCode>
                <c:ptCount val="6"/>
                <c:pt idx="0">
                  <c:v>1.3489504468430935</c:v>
                </c:pt>
                <c:pt idx="1">
                  <c:v>1.3735044488086421</c:v>
                </c:pt>
                <c:pt idx="2">
                  <c:v>1.3942896308438211</c:v>
                </c:pt>
                <c:pt idx="3">
                  <c:v>1.2285412758429628</c:v>
                </c:pt>
                <c:pt idx="4">
                  <c:v>1.6685899758520875</c:v>
                </c:pt>
                <c:pt idx="5">
                  <c:v>1.0238504395782462</c:v>
                </c:pt>
              </c:numCache>
            </c:numRef>
          </c:val>
          <c:smooth val="0"/>
          <c:extLst>
            <c:ext xmlns:c16="http://schemas.microsoft.com/office/drawing/2014/chart" uri="{C3380CC4-5D6E-409C-BE32-E72D297353CC}">
              <c16:uniqueId val="{00000001-EFBE-496E-9981-F976CF4C49EA}"/>
            </c:ext>
          </c:extLst>
        </c:ser>
        <c:dLbls>
          <c:showLegendKey val="0"/>
          <c:showVal val="0"/>
          <c:showCatName val="0"/>
          <c:showSerName val="0"/>
          <c:showPercent val="0"/>
          <c:showBubbleSize val="0"/>
        </c:dLbls>
        <c:marker val="1"/>
        <c:smooth val="0"/>
        <c:axId val="3"/>
        <c:axId val="4"/>
      </c:lineChart>
      <c:catAx>
        <c:axId val="22696758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Per Acre</a:t>
                </a:r>
              </a:p>
            </c:rich>
          </c:tx>
          <c:overlay val="0"/>
        </c:title>
        <c:numFmt formatCode="&quot;$&quot;#,##0_);\(&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6967584"/>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8.0229253983137322E-2"/>
          <c:y val="0.93877702578147626"/>
          <c:w val="0.63037253772259816"/>
          <c:h val="4.4217733652858637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062" r="0.70000000000000062" t="0.750000000000001" header="0.30000000000000032" footer="0.30000000000000032"/>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(HIDE)'!$BL$27</c:f>
          <c:strCache>
            <c:ptCount val="1"/>
            <c:pt idx="0">
              <c:v>Manitoba - 80% Insured Value AgriInsurance Risk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335685159973898"/>
          <c:y val="0.1570344441739836"/>
          <c:w val="0.77106819604658261"/>
          <c:h val="0.67799349470936143"/>
        </c:manualLayout>
      </c:layout>
      <c:barChart>
        <c:barDir val="col"/>
        <c:grouping val="clustered"/>
        <c:varyColors val="0"/>
        <c:ser>
          <c:idx val="0"/>
          <c:order val="0"/>
          <c:tx>
            <c:strRef>
              <c:f>'For PPT (HIDE)'!$BM$28</c:f>
              <c:strCache>
                <c:ptCount val="1"/>
                <c:pt idx="0">
                  <c:v>80% Insured Value Premium $/Acre</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(HIDE)'!$BM$29:$BM$34</c:f>
              <c:numCache>
                <c:formatCode>"$"#,##0.00_);\("$"#,##0.00\)</c:formatCode>
                <c:ptCount val="6"/>
                <c:pt idx="0">
                  <c:v>7.4649999999999999</c:v>
                </c:pt>
                <c:pt idx="1">
                  <c:v>7.7024999999999988</c:v>
                </c:pt>
                <c:pt idx="2">
                  <c:v>12.662499999999998</c:v>
                </c:pt>
                <c:pt idx="3">
                  <c:v>8.8099999999999987</c:v>
                </c:pt>
                <c:pt idx="4">
                  <c:v>8.9199999999999982</c:v>
                </c:pt>
                <c:pt idx="5">
                  <c:v>28.31</c:v>
                </c:pt>
              </c:numCache>
            </c:numRef>
          </c:val>
          <c:extLst>
            <c:ext xmlns:c16="http://schemas.microsoft.com/office/drawing/2014/chart" uri="{C3380CC4-5D6E-409C-BE32-E72D297353CC}">
              <c16:uniqueId val="{00000000-D565-40A6-BC70-1D49E5211CAB}"/>
            </c:ext>
          </c:extLst>
        </c:ser>
        <c:dLbls>
          <c:showLegendKey val="0"/>
          <c:showVal val="0"/>
          <c:showCatName val="0"/>
          <c:showSerName val="0"/>
          <c:showPercent val="0"/>
          <c:showBubbleSize val="0"/>
        </c:dLbls>
        <c:gapWidth val="75"/>
        <c:axId val="227175096"/>
        <c:axId val="1"/>
      </c:barChart>
      <c:lineChart>
        <c:grouping val="standard"/>
        <c:varyColors val="0"/>
        <c:ser>
          <c:idx val="1"/>
          <c:order val="1"/>
          <c:tx>
            <c:strRef>
              <c:f>'For PPT (HIDE)'!$BN$28</c:f>
              <c:strCache>
                <c:ptCount val="1"/>
                <c:pt idx="0">
                  <c:v>Premium % of Insured Value</c:v>
                </c:pt>
              </c:strCache>
            </c:strRef>
          </c:tx>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(HIDE)'!$BN$29:$BN$34</c:f>
              <c:numCache>
                <c:formatCode>0.00%</c:formatCode>
                <c:ptCount val="6"/>
                <c:pt idx="0">
                  <c:v>2.2592047841271567E-2</c:v>
                </c:pt>
                <c:pt idx="1">
                  <c:v>2.8111436984395544E-2</c:v>
                </c:pt>
                <c:pt idx="2">
                  <c:v>4.4799158253446651E-2</c:v>
                </c:pt>
                <c:pt idx="3">
                  <c:v>4.0200555598144103E-2</c:v>
                </c:pt>
                <c:pt idx="4">
                  <c:v>3.3968529604411331E-2</c:v>
                </c:pt>
                <c:pt idx="5">
                  <c:v>8.1833675583675575E-2</c:v>
                </c:pt>
              </c:numCache>
            </c:numRef>
          </c:val>
          <c:smooth val="0"/>
          <c:extLst>
            <c:ext xmlns:c16="http://schemas.microsoft.com/office/drawing/2014/chart" uri="{C3380CC4-5D6E-409C-BE32-E72D297353CC}">
              <c16:uniqueId val="{00000001-D565-40A6-BC70-1D49E5211CAB}"/>
            </c:ext>
          </c:extLst>
        </c:ser>
        <c:dLbls>
          <c:showLegendKey val="0"/>
          <c:showVal val="0"/>
          <c:showCatName val="0"/>
          <c:showSerName val="0"/>
          <c:showPercent val="0"/>
          <c:showBubbleSize val="0"/>
        </c:dLbls>
        <c:marker val="1"/>
        <c:smooth val="0"/>
        <c:axId val="3"/>
        <c:axId val="4"/>
      </c:lineChart>
      <c:catAx>
        <c:axId val="22717509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Per Acre</a:t>
                </a:r>
              </a:p>
            </c:rich>
          </c:tx>
          <c:overlay val="0"/>
        </c:title>
        <c:numFmt formatCode="&quot;$&quot;#,##0.00_);\(&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7175096"/>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3.4383879920318425E-2"/>
          <c:y val="0.93902523722996167"/>
          <c:w val="0.86962753759079969"/>
          <c:h val="4.5296184130829809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(HIDE)'!$BP$27</c:f>
          <c:strCache>
            <c:ptCount val="1"/>
            <c:pt idx="0">
              <c:v>Manitoba Crop Profitability 'Stress Test' - Price Down 10% &amp; Yield Down 5%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989876791347786"/>
          <c:y val="0.16052149872115354"/>
          <c:w val="0.80165137141868492"/>
          <c:h val="0.67550047737856378"/>
        </c:manualLayout>
      </c:layout>
      <c:barChart>
        <c:barDir val="col"/>
        <c:grouping val="clustered"/>
        <c:varyColors val="0"/>
        <c:ser>
          <c:idx val="0"/>
          <c:order val="0"/>
          <c:tx>
            <c:strRef>
              <c:f>'For PPT (HIDE)'!$BQ$28</c:f>
              <c:strCache>
                <c:ptCount val="1"/>
                <c:pt idx="0">
                  <c:v>Margin Over Operating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(HIDE)'!$BQ$29:$BQ$34</c:f>
              <c:numCache>
                <c:formatCode>"$"#,##0.00;\("$"#,##0.00\)</c:formatCode>
                <c:ptCount val="6"/>
                <c:pt idx="0">
                  <c:v>139.79956407161905</c:v>
                </c:pt>
                <c:pt idx="1">
                  <c:v>121.09116671834397</c:v>
                </c:pt>
                <c:pt idx="2">
                  <c:v>156.37999567138675</c:v>
                </c:pt>
                <c:pt idx="3">
                  <c:v>60.701738233211131</c:v>
                </c:pt>
                <c:pt idx="4">
                  <c:v>135.12400961272593</c:v>
                </c:pt>
                <c:pt idx="5">
                  <c:v>144.51314990253354</c:v>
                </c:pt>
              </c:numCache>
            </c:numRef>
          </c:val>
          <c:extLst>
            <c:ext xmlns:c16="http://schemas.microsoft.com/office/drawing/2014/chart" uri="{C3380CC4-5D6E-409C-BE32-E72D297353CC}">
              <c16:uniqueId val="{00000000-D563-4EFE-A7EB-4D6DFBEFFC1D}"/>
            </c:ext>
          </c:extLst>
        </c:ser>
        <c:dLbls>
          <c:showLegendKey val="0"/>
          <c:showVal val="0"/>
          <c:showCatName val="0"/>
          <c:showSerName val="0"/>
          <c:showPercent val="0"/>
          <c:showBubbleSize val="0"/>
        </c:dLbls>
        <c:gapWidth val="75"/>
        <c:overlap val="-25"/>
        <c:axId val="227172800"/>
        <c:axId val="1"/>
      </c:barChart>
      <c:catAx>
        <c:axId val="227172800"/>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7172800"/>
        <c:crosses val="autoZero"/>
        <c:crossBetween val="between"/>
      </c:valAx>
      <c:spPr>
        <a:solidFill>
          <a:schemeClr val="bg1">
            <a:lumMod val="85000"/>
          </a:schemeClr>
        </a:solidFill>
      </c:spPr>
    </c:plotArea>
    <c:legend>
      <c:legendPos val="r"/>
      <c:layout>
        <c:manualLayout>
          <c:xMode val="edge"/>
          <c:yMode val="edge"/>
          <c:x val="0.26788218793828894"/>
          <c:y val="0.9275618034656663"/>
          <c:w val="0.46423562412342217"/>
          <c:h val="5.3003531626609535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(HIDE)'!$BP$27</c:f>
          <c:strCache>
            <c:ptCount val="1"/>
            <c:pt idx="0">
              <c:v>Manitoba Crop Profitability 'Stress Test' - Price Down 10% &amp; Yield Down 5%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4175010031179483"/>
          <c:y val="0.14251339667316681"/>
          <c:w val="0.80581197336307719"/>
          <c:h val="0.69383147485392227"/>
        </c:manualLayout>
      </c:layout>
      <c:barChart>
        <c:barDir val="col"/>
        <c:grouping val="clustered"/>
        <c:varyColors val="0"/>
        <c:ser>
          <c:idx val="0"/>
          <c:order val="0"/>
          <c:tx>
            <c:strRef>
              <c:f>'For PPT (HIDE)'!$BR$28</c:f>
              <c:strCache>
                <c:ptCount val="1"/>
                <c:pt idx="0">
                  <c:v>Margin Over Op &amp; Fixed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(HIDE)'!$BR$29:$BR$34</c:f>
              <c:numCache>
                <c:formatCode>"$"#,##0.00;\("$"#,##0.00\)</c:formatCode>
                <c:ptCount val="6"/>
                <c:pt idx="0">
                  <c:v>5.0600390716190304</c:v>
                </c:pt>
                <c:pt idx="1">
                  <c:v>-15.745217656656052</c:v>
                </c:pt>
                <c:pt idx="2">
                  <c:v>21.640470671386765</c:v>
                </c:pt>
                <c:pt idx="3">
                  <c:v>-78.650877391788896</c:v>
                </c:pt>
                <c:pt idx="4">
                  <c:v>-8.7019060122740939</c:v>
                </c:pt>
                <c:pt idx="5">
                  <c:v>-12.47222822246647</c:v>
                </c:pt>
              </c:numCache>
            </c:numRef>
          </c:val>
          <c:extLst>
            <c:ext xmlns:c16="http://schemas.microsoft.com/office/drawing/2014/chart" uri="{C3380CC4-5D6E-409C-BE32-E72D297353CC}">
              <c16:uniqueId val="{00000000-A894-44B5-8FE0-4435BBC2C2E2}"/>
            </c:ext>
          </c:extLst>
        </c:ser>
        <c:dLbls>
          <c:showLegendKey val="0"/>
          <c:showVal val="0"/>
          <c:showCatName val="0"/>
          <c:showSerName val="0"/>
          <c:showPercent val="0"/>
          <c:showBubbleSize val="0"/>
        </c:dLbls>
        <c:gapWidth val="75"/>
        <c:overlap val="-25"/>
        <c:axId val="227177392"/>
        <c:axId val="1"/>
      </c:barChart>
      <c:catAx>
        <c:axId val="227177392"/>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7177392"/>
        <c:crosses val="autoZero"/>
        <c:crossBetween val="between"/>
      </c:valAx>
      <c:spPr>
        <a:solidFill>
          <a:schemeClr val="bg1">
            <a:lumMod val="85000"/>
          </a:schemeClr>
        </a:solidFill>
      </c:spPr>
    </c:plotArea>
    <c:legend>
      <c:legendPos val="r"/>
      <c:layout>
        <c:manualLayout>
          <c:xMode val="edge"/>
          <c:yMode val="edge"/>
          <c:x val="0.25806451612903225"/>
          <c:y val="0.93027361546361886"/>
          <c:w val="0.47685834502103785"/>
          <c:h val="5.1020461907144599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(HIDE)'!$BP$27</c:f>
          <c:strCache>
            <c:ptCount val="1"/>
            <c:pt idx="0">
              <c:v>Manitoba Crop Profitability 'Stress Test' - Price Down 10% &amp; Yield Down 5%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4175010031179483"/>
          <c:y val="0.150200175897204"/>
          <c:w val="0.82652295391547304"/>
          <c:h val="0.70760865724207322"/>
        </c:manualLayout>
      </c:layout>
      <c:barChart>
        <c:barDir val="col"/>
        <c:grouping val="clustered"/>
        <c:varyColors val="0"/>
        <c:ser>
          <c:idx val="0"/>
          <c:order val="0"/>
          <c:tx>
            <c:strRef>
              <c:f>'For PPT (HIDE)'!$BS$28</c:f>
              <c:strCache>
                <c:ptCount val="1"/>
                <c:pt idx="0">
                  <c:v>Margin Over Total Costs (Net Profit)</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(HIDE)'!$BS$29:$BS$34</c:f>
              <c:numCache>
                <c:formatCode>"$"#,##0.00;\("$"#,##0.00\)</c:formatCode>
                <c:ptCount val="6"/>
                <c:pt idx="0">
                  <c:v>-24.93996092838097</c:v>
                </c:pt>
                <c:pt idx="1">
                  <c:v>-45.745217656656052</c:v>
                </c:pt>
                <c:pt idx="2">
                  <c:v>-8.3595293286132346</c:v>
                </c:pt>
                <c:pt idx="3">
                  <c:v>-108.6508773917889</c:v>
                </c:pt>
                <c:pt idx="4">
                  <c:v>-38.701906012274094</c:v>
                </c:pt>
                <c:pt idx="5">
                  <c:v>-42.472228222466413</c:v>
                </c:pt>
              </c:numCache>
            </c:numRef>
          </c:val>
          <c:extLst>
            <c:ext xmlns:c16="http://schemas.microsoft.com/office/drawing/2014/chart" uri="{C3380CC4-5D6E-409C-BE32-E72D297353CC}">
              <c16:uniqueId val="{00000000-41A6-402B-B983-70E24185E033}"/>
            </c:ext>
          </c:extLst>
        </c:ser>
        <c:dLbls>
          <c:showLegendKey val="0"/>
          <c:showVal val="0"/>
          <c:showCatName val="0"/>
          <c:showSerName val="0"/>
          <c:showPercent val="0"/>
          <c:showBubbleSize val="0"/>
        </c:dLbls>
        <c:gapWidth val="75"/>
        <c:overlap val="-25"/>
        <c:axId val="227173784"/>
        <c:axId val="1"/>
      </c:barChart>
      <c:catAx>
        <c:axId val="22717378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7173784"/>
        <c:crosses val="autoZero"/>
        <c:crossBetween val="between"/>
      </c:valAx>
      <c:spPr>
        <a:solidFill>
          <a:schemeClr val="bg1">
            <a:lumMod val="85000"/>
          </a:schemeClr>
        </a:solidFill>
      </c:spPr>
    </c:plotArea>
    <c:legend>
      <c:legendPos val="r"/>
      <c:layout>
        <c:manualLayout>
          <c:xMode val="edge"/>
          <c:yMode val="edge"/>
          <c:x val="0.21598877980364656"/>
          <c:y val="0.9285721336115037"/>
          <c:w val="0.56241234221598879"/>
          <c:h val="5.2264800233304154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062" r="0.70000000000000062" t="0.750000000000001" header="0.30000000000000032" footer="0.30000000000000032"/>
    <c:pageSetup orientation="portrait"/>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(HIDE)'!$BE$27</c:f>
          <c:strCache>
            <c:ptCount val="1"/>
            <c:pt idx="0">
              <c:v>Manitoba Breakeven Price ($/unit) - 2018</c:v>
            </c:pt>
          </c:strCache>
        </c:strRef>
      </c:tx>
      <c:overlay val="0"/>
      <c:txPr>
        <a:bodyPr/>
        <a:lstStyle/>
        <a:p>
          <a:pPr>
            <a:defRPr sz="18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039157116934302"/>
          <c:y val="8.8431410447776013E-2"/>
          <c:w val="0.80904623001858178"/>
          <c:h val="0.75170413964611882"/>
        </c:manualLayout>
      </c:layout>
      <c:barChart>
        <c:barDir val="col"/>
        <c:grouping val="clustered"/>
        <c:varyColors val="0"/>
        <c:ser>
          <c:idx val="0"/>
          <c:order val="0"/>
          <c:tx>
            <c:strRef>
              <c:f>'For PPT (HIDE)'!$BG$28</c:f>
              <c:strCache>
                <c:ptCount val="1"/>
                <c:pt idx="0">
                  <c:v>Operating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(HIDE)'!$BG$29:$BG$34</c:f>
              <c:numCache>
                <c:formatCode>"$"#,##0.00</c:formatCode>
                <c:ptCount val="6"/>
                <c:pt idx="0">
                  <c:v>6.1237608982095235</c:v>
                </c:pt>
                <c:pt idx="1">
                  <c:v>3.6270696960301092</c:v>
                </c:pt>
                <c:pt idx="2">
                  <c:v>5.0680001082153314</c:v>
                </c:pt>
                <c:pt idx="3">
                  <c:v>2.4436063255724503</c:v>
                </c:pt>
                <c:pt idx="4">
                  <c:v>1.4988189560692768</c:v>
                </c:pt>
                <c:pt idx="5">
                  <c:v>2.3963606389891239</c:v>
                </c:pt>
              </c:numCache>
            </c:numRef>
          </c:val>
          <c:extLst>
            <c:ext xmlns:c16="http://schemas.microsoft.com/office/drawing/2014/chart" uri="{C3380CC4-5D6E-409C-BE32-E72D297353CC}">
              <c16:uniqueId val="{00000000-C07E-4292-9F7B-751F92DC5490}"/>
            </c:ext>
          </c:extLst>
        </c:ser>
        <c:ser>
          <c:idx val="2"/>
          <c:order val="1"/>
          <c:tx>
            <c:strRef>
              <c:f>'For PPT (HIDE)'!$BH$28</c:f>
              <c:strCache>
                <c:ptCount val="1"/>
                <c:pt idx="0">
                  <c:v> Operating &amp; Fixed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(HIDE)'!$BH$29:$BH$34</c:f>
              <c:numCache>
                <c:formatCode>"$"#,##0.00</c:formatCode>
                <c:ptCount val="6"/>
                <c:pt idx="0">
                  <c:v>9.4922490232095242</c:v>
                </c:pt>
                <c:pt idx="1">
                  <c:v>6.1150039573937462</c:v>
                </c:pt>
                <c:pt idx="2">
                  <c:v>8.4364882332153321</c:v>
                </c:pt>
                <c:pt idx="3">
                  <c:v>4.3525462656409442</c:v>
                </c:pt>
                <c:pt idx="4">
                  <c:v>2.8685895810692772</c:v>
                </c:pt>
                <c:pt idx="5">
                  <c:v>3.5097321150529539</c:v>
                </c:pt>
              </c:numCache>
            </c:numRef>
          </c:val>
          <c:extLst>
            <c:ext xmlns:c16="http://schemas.microsoft.com/office/drawing/2014/chart" uri="{C3380CC4-5D6E-409C-BE32-E72D297353CC}">
              <c16:uniqueId val="{00000001-C07E-4292-9F7B-751F92DC5490}"/>
            </c:ext>
          </c:extLst>
        </c:ser>
        <c:ser>
          <c:idx val="1"/>
          <c:order val="2"/>
          <c:tx>
            <c:strRef>
              <c:f>'For PPT (HIDE)'!$BJ$28</c:f>
              <c:strCache>
                <c:ptCount val="1"/>
                <c:pt idx="0">
                  <c:v>Total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(HIDE)'!$BJ$29:$BJ$34</c:f>
              <c:numCache>
                <c:formatCode>"$"#,##0.00</c:formatCode>
                <c:ptCount val="6"/>
                <c:pt idx="0">
                  <c:v>10.242249023209524</c:v>
                </c:pt>
                <c:pt idx="1">
                  <c:v>6.6604585028482912</c:v>
                </c:pt>
                <c:pt idx="2">
                  <c:v>9.1864882332153321</c:v>
                </c:pt>
                <c:pt idx="3">
                  <c:v>4.7635051697505331</c:v>
                </c:pt>
                <c:pt idx="4">
                  <c:v>3.1543038667835628</c:v>
                </c:pt>
                <c:pt idx="5">
                  <c:v>3.7224980724997621</c:v>
                </c:pt>
              </c:numCache>
            </c:numRef>
          </c:val>
          <c:extLst>
            <c:ext xmlns:c16="http://schemas.microsoft.com/office/drawing/2014/chart" uri="{C3380CC4-5D6E-409C-BE32-E72D297353CC}">
              <c16:uniqueId val="{00000002-C07E-4292-9F7B-751F92DC5490}"/>
            </c:ext>
          </c:extLst>
        </c:ser>
        <c:dLbls>
          <c:showLegendKey val="0"/>
          <c:showVal val="0"/>
          <c:showCatName val="0"/>
          <c:showSerName val="0"/>
          <c:showPercent val="0"/>
          <c:showBubbleSize val="0"/>
        </c:dLbls>
        <c:gapWidth val="75"/>
        <c:overlap val="-25"/>
        <c:axId val="227178376"/>
        <c:axId val="1"/>
      </c:barChart>
      <c:catAx>
        <c:axId val="22717837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7178376"/>
        <c:crosses val="autoZero"/>
        <c:crossBetween val="between"/>
      </c:valAx>
      <c:spPr>
        <a:solidFill>
          <a:schemeClr val="bg1">
            <a:lumMod val="85000"/>
          </a:schemeClr>
        </a:solidFill>
      </c:spPr>
    </c:plotArea>
    <c:legend>
      <c:legendPos val="r"/>
      <c:layout>
        <c:manualLayout>
          <c:xMode val="edge"/>
          <c:yMode val="edge"/>
          <c:x val="2.9288688142593677E-2"/>
          <c:y val="0.92185157170314336"/>
          <c:w val="0.78661189090494121"/>
          <c:h val="6.6985760638187952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orientation="portrait"/>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(HIDE)'!$BE$25</c:f>
          <c:strCache>
            <c:ptCount val="1"/>
            <c:pt idx="0">
              <c:v>Manitoba Breakeven vs Target Price ($/unit)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259753675642824"/>
          <c:y val="8.9701465802102517E-2"/>
          <c:w val="0.82656211353142617"/>
          <c:h val="0.74493628178711491"/>
        </c:manualLayout>
      </c:layout>
      <c:barChart>
        <c:barDir val="col"/>
        <c:grouping val="clustered"/>
        <c:varyColors val="0"/>
        <c:ser>
          <c:idx val="0"/>
          <c:order val="0"/>
          <c:tx>
            <c:strRef>
              <c:f>'For PPT (HIDE)'!$BG$28</c:f>
              <c:strCache>
                <c:ptCount val="1"/>
                <c:pt idx="0">
                  <c:v>Operating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(HIDE)'!$BG$29:$BG$34</c:f>
              <c:numCache>
                <c:formatCode>"$"#,##0.00</c:formatCode>
                <c:ptCount val="6"/>
                <c:pt idx="0">
                  <c:v>6.1237608982095235</c:v>
                </c:pt>
                <c:pt idx="1">
                  <c:v>3.6270696960301092</c:v>
                </c:pt>
                <c:pt idx="2">
                  <c:v>5.0680001082153314</c:v>
                </c:pt>
                <c:pt idx="3">
                  <c:v>2.4436063255724503</c:v>
                </c:pt>
                <c:pt idx="4">
                  <c:v>1.4988189560692768</c:v>
                </c:pt>
                <c:pt idx="5">
                  <c:v>2.3963606389891239</c:v>
                </c:pt>
              </c:numCache>
            </c:numRef>
          </c:val>
          <c:extLst>
            <c:ext xmlns:c16="http://schemas.microsoft.com/office/drawing/2014/chart" uri="{C3380CC4-5D6E-409C-BE32-E72D297353CC}">
              <c16:uniqueId val="{00000000-853D-4449-A2BB-EE09BBFC2F8B}"/>
            </c:ext>
          </c:extLst>
        </c:ser>
        <c:ser>
          <c:idx val="2"/>
          <c:order val="1"/>
          <c:tx>
            <c:strRef>
              <c:f>'For PPT (HIDE)'!$BH$28</c:f>
              <c:strCache>
                <c:ptCount val="1"/>
                <c:pt idx="0">
                  <c:v> Operating &amp; Fixed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(HIDE)'!$BH$29:$BH$34</c:f>
              <c:numCache>
                <c:formatCode>"$"#,##0.00</c:formatCode>
                <c:ptCount val="6"/>
                <c:pt idx="0">
                  <c:v>9.4922490232095242</c:v>
                </c:pt>
                <c:pt idx="1">
                  <c:v>6.1150039573937462</c:v>
                </c:pt>
                <c:pt idx="2">
                  <c:v>8.4364882332153321</c:v>
                </c:pt>
                <c:pt idx="3">
                  <c:v>4.3525462656409442</c:v>
                </c:pt>
                <c:pt idx="4">
                  <c:v>2.8685895810692772</c:v>
                </c:pt>
                <c:pt idx="5">
                  <c:v>3.5097321150529539</c:v>
                </c:pt>
              </c:numCache>
            </c:numRef>
          </c:val>
          <c:extLst>
            <c:ext xmlns:c16="http://schemas.microsoft.com/office/drawing/2014/chart" uri="{C3380CC4-5D6E-409C-BE32-E72D297353CC}">
              <c16:uniqueId val="{00000001-853D-4449-A2BB-EE09BBFC2F8B}"/>
            </c:ext>
          </c:extLst>
        </c:ser>
        <c:dLbls>
          <c:showLegendKey val="0"/>
          <c:showVal val="0"/>
          <c:showCatName val="0"/>
          <c:showSerName val="0"/>
          <c:showPercent val="0"/>
          <c:showBubbleSize val="0"/>
        </c:dLbls>
        <c:gapWidth val="75"/>
        <c:overlap val="-25"/>
        <c:axId val="227185920"/>
        <c:axId val="1"/>
      </c:barChart>
      <c:lineChart>
        <c:grouping val="standard"/>
        <c:varyColors val="0"/>
        <c:ser>
          <c:idx val="1"/>
          <c:order val="2"/>
          <c:tx>
            <c:strRef>
              <c:f>'For PPT (HIDE)'!$BI$28</c:f>
              <c:strCache>
                <c:ptCount val="1"/>
                <c:pt idx="0">
                  <c:v>Target $/unit</c:v>
                </c:pt>
              </c:strCache>
            </c:strRef>
          </c:tx>
          <c:dLbls>
            <c:spPr>
              <a:noFill/>
              <a:ln w="25400">
                <a:noFill/>
              </a:ln>
            </c:spPr>
            <c:txPr>
              <a:bodyPr wrap="square" lIns="38100" tIns="19050" rIns="38100" bIns="19050" anchor="ctr">
                <a:spAutoFit/>
              </a:bodyPr>
              <a:lstStyle/>
              <a:p>
                <a:pPr>
                  <a:defRPr sz="1000" b="0"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(HIDE)'!$BI$29:$BI$34</c:f>
              <c:numCache>
                <c:formatCode>"$"#,##0.00</c:formatCode>
                <c:ptCount val="6"/>
                <c:pt idx="0">
                  <c:v>11.25</c:v>
                </c:pt>
                <c:pt idx="1">
                  <c:v>6.85</c:v>
                </c:pt>
                <c:pt idx="2">
                  <c:v>10.5</c:v>
                </c:pt>
                <c:pt idx="3">
                  <c:v>3.85</c:v>
                </c:pt>
                <c:pt idx="4">
                  <c:v>3.25</c:v>
                </c:pt>
                <c:pt idx="5">
                  <c:v>4</c:v>
                </c:pt>
              </c:numCache>
            </c:numRef>
          </c:val>
          <c:smooth val="0"/>
          <c:extLst>
            <c:ext xmlns:c16="http://schemas.microsoft.com/office/drawing/2014/chart" uri="{C3380CC4-5D6E-409C-BE32-E72D297353CC}">
              <c16:uniqueId val="{00000002-853D-4449-A2BB-EE09BBFC2F8B}"/>
            </c:ext>
          </c:extLst>
        </c:ser>
        <c:dLbls>
          <c:showLegendKey val="0"/>
          <c:showVal val="0"/>
          <c:showCatName val="0"/>
          <c:showSerName val="0"/>
          <c:showPercent val="0"/>
          <c:showBubbleSize val="0"/>
        </c:dLbls>
        <c:marker val="1"/>
        <c:smooth val="0"/>
        <c:axId val="227185920"/>
        <c:axId val="1"/>
      </c:lineChart>
      <c:catAx>
        <c:axId val="227185920"/>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7185920"/>
        <c:crosses val="autoZero"/>
        <c:crossBetween val="between"/>
      </c:valAx>
      <c:spPr>
        <a:solidFill>
          <a:schemeClr val="bg1">
            <a:lumMod val="85000"/>
          </a:schemeClr>
        </a:solidFill>
      </c:spPr>
    </c:plotArea>
    <c:legend>
      <c:legendPos val="r"/>
      <c:layout>
        <c:manualLayout>
          <c:xMode val="edge"/>
          <c:yMode val="edge"/>
          <c:x val="2.9649545839290418E-2"/>
          <c:y val="0.92307697187398408"/>
          <c:w val="0.83153689122193053"/>
          <c:h val="4.615378515752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(HIDE)'!$AC$27</c:f>
          <c:strCache>
            <c:ptCount val="1"/>
            <c:pt idx="0">
              <c:v>Manitoba Breakeven Yields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2795741446606937"/>
          <c:y val="0.10141498053668559"/>
          <c:w val="0.78903032918676741"/>
          <c:h val="0.77234047858174404"/>
        </c:manualLayout>
      </c:layout>
      <c:barChart>
        <c:barDir val="col"/>
        <c:grouping val="clustered"/>
        <c:varyColors val="0"/>
        <c:ser>
          <c:idx val="0"/>
          <c:order val="0"/>
          <c:tx>
            <c:strRef>
              <c:f>'For PPT (HIDE)'!$R$6</c:f>
              <c:strCache>
                <c:ptCount val="1"/>
                <c:pt idx="0">
                  <c:v>B/E Yield Over Op &amp; Fixed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(HIDE)'!$AE$29:$AE$34</c:f>
              <c:numCache>
                <c:formatCode>#,##0.0_ ;\-#,##0.0\ </c:formatCode>
                <c:ptCount val="6"/>
                <c:pt idx="0">
                  <c:v>33.799999999999997</c:v>
                </c:pt>
                <c:pt idx="1">
                  <c:v>49.1</c:v>
                </c:pt>
                <c:pt idx="2">
                  <c:v>32.1</c:v>
                </c:pt>
                <c:pt idx="3">
                  <c:v>82.5</c:v>
                </c:pt>
                <c:pt idx="4">
                  <c:v>92.7</c:v>
                </c:pt>
                <c:pt idx="5">
                  <c:v>123.7</c:v>
                </c:pt>
              </c:numCache>
            </c:numRef>
          </c:val>
          <c:extLst>
            <c:ext xmlns:c16="http://schemas.microsoft.com/office/drawing/2014/chart" uri="{C3380CC4-5D6E-409C-BE32-E72D297353CC}">
              <c16:uniqueId val="{00000000-1DEA-4516-99CD-6163E9BDF10A}"/>
            </c:ext>
          </c:extLst>
        </c:ser>
        <c:dLbls>
          <c:showLegendKey val="0"/>
          <c:showVal val="0"/>
          <c:showCatName val="0"/>
          <c:showSerName val="0"/>
          <c:showPercent val="0"/>
          <c:showBubbleSize val="0"/>
        </c:dLbls>
        <c:gapWidth val="75"/>
        <c:overlap val="-25"/>
        <c:axId val="227184936"/>
        <c:axId val="1"/>
      </c:barChart>
      <c:catAx>
        <c:axId val="22718493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0_ ;\-#,##0.0\ "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7184936"/>
        <c:crosses val="autoZero"/>
        <c:crossBetween val="between"/>
        <c:majorUnit val="10"/>
      </c:valAx>
      <c:spPr>
        <a:solidFill>
          <a:schemeClr val="bg1">
            <a:lumMod val="85000"/>
          </a:schemeClr>
        </a:solidFill>
      </c:spPr>
    </c:plotArea>
    <c:legend>
      <c:legendPos val="r"/>
      <c:layout>
        <c:manualLayout>
          <c:xMode val="edge"/>
          <c:yMode val="edge"/>
          <c:x val="0.24320495754649582"/>
          <c:y val="0.92508782556026647"/>
          <c:w val="0.50786905218509582"/>
          <c:h val="5.2264800233304154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062" r="0.70000000000000062" t="0.750000000000001" header="0.30000000000000032" footer="0.30000000000000032"/>
    <c:pageSetup orientation="portrait"/>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(HIDE)'!$AC$26</c:f>
          <c:strCache>
            <c:ptCount val="1"/>
            <c:pt idx="0">
              <c:v>Manitoba Breakeven vs Target Yields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1687335298771431"/>
          <c:y val="0.10166313657801795"/>
          <c:w val="0.83097553175311822"/>
          <c:h val="0.72005824601316348"/>
        </c:manualLayout>
      </c:layout>
      <c:barChart>
        <c:barDir val="col"/>
        <c:grouping val="clustered"/>
        <c:varyColors val="0"/>
        <c:ser>
          <c:idx val="1"/>
          <c:order val="0"/>
          <c:tx>
            <c:strRef>
              <c:f>'For PPT (HIDE)'!$Q$6</c:f>
              <c:strCache>
                <c:ptCount val="1"/>
                <c:pt idx="0">
                  <c:v>B/E Yield Over Op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(HIDE)'!$AD$29:$AD$34</c:f>
              <c:numCache>
                <c:formatCode>#,##0.0_ ;\-#,##0.0\ </c:formatCode>
                <c:ptCount val="6"/>
                <c:pt idx="0">
                  <c:v>21.8</c:v>
                </c:pt>
                <c:pt idx="1">
                  <c:v>29.1</c:v>
                </c:pt>
                <c:pt idx="2">
                  <c:v>19.3</c:v>
                </c:pt>
                <c:pt idx="3">
                  <c:v>46.3</c:v>
                </c:pt>
                <c:pt idx="4">
                  <c:v>48.4</c:v>
                </c:pt>
                <c:pt idx="5">
                  <c:v>84.5</c:v>
                </c:pt>
              </c:numCache>
            </c:numRef>
          </c:val>
          <c:extLst>
            <c:ext xmlns:c16="http://schemas.microsoft.com/office/drawing/2014/chart" uri="{C3380CC4-5D6E-409C-BE32-E72D297353CC}">
              <c16:uniqueId val="{00000000-7D9F-4C5D-861D-F41C9E6E9C88}"/>
            </c:ext>
          </c:extLst>
        </c:ser>
        <c:ser>
          <c:idx val="0"/>
          <c:order val="1"/>
          <c:tx>
            <c:strRef>
              <c:f>'For PPT (HIDE)'!$R$6</c:f>
              <c:strCache>
                <c:ptCount val="1"/>
                <c:pt idx="0">
                  <c:v>B/E Yield Over Op &amp; Fixed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(HIDE)'!$AE$29:$AE$34</c:f>
              <c:numCache>
                <c:formatCode>#,##0.0_ ;\-#,##0.0\ </c:formatCode>
                <c:ptCount val="6"/>
                <c:pt idx="0">
                  <c:v>33.799999999999997</c:v>
                </c:pt>
                <c:pt idx="1">
                  <c:v>49.1</c:v>
                </c:pt>
                <c:pt idx="2">
                  <c:v>32.1</c:v>
                </c:pt>
                <c:pt idx="3">
                  <c:v>82.5</c:v>
                </c:pt>
                <c:pt idx="4">
                  <c:v>92.7</c:v>
                </c:pt>
                <c:pt idx="5">
                  <c:v>123.7</c:v>
                </c:pt>
              </c:numCache>
            </c:numRef>
          </c:val>
          <c:extLst>
            <c:ext xmlns:c16="http://schemas.microsoft.com/office/drawing/2014/chart" uri="{C3380CC4-5D6E-409C-BE32-E72D297353CC}">
              <c16:uniqueId val="{00000001-7D9F-4C5D-861D-F41C9E6E9C88}"/>
            </c:ext>
          </c:extLst>
        </c:ser>
        <c:dLbls>
          <c:showLegendKey val="0"/>
          <c:showVal val="0"/>
          <c:showCatName val="0"/>
          <c:showSerName val="0"/>
          <c:showPercent val="0"/>
          <c:showBubbleSize val="0"/>
        </c:dLbls>
        <c:gapWidth val="75"/>
        <c:overlap val="-25"/>
        <c:axId val="227183624"/>
        <c:axId val="1"/>
      </c:barChart>
      <c:lineChart>
        <c:grouping val="standard"/>
        <c:varyColors val="0"/>
        <c:ser>
          <c:idx val="2"/>
          <c:order val="2"/>
          <c:tx>
            <c:strRef>
              <c:f>'For PPT (HIDE)'!$H$6</c:f>
              <c:strCache>
                <c:ptCount val="1"/>
                <c:pt idx="0">
                  <c:v>Target Yield</c:v>
                </c:pt>
              </c:strCache>
            </c:strRef>
          </c:tx>
          <c:spPr>
            <a:ln>
              <a:solidFill>
                <a:srgbClr val="C00000"/>
              </a:solidFill>
            </a:ln>
          </c:spPr>
          <c:marker>
            <c:spPr>
              <a:ln>
                <a:solidFill>
                  <a:srgbClr val="C00000"/>
                </a:solidFill>
              </a:ln>
            </c:spPr>
          </c:marker>
          <c:dLbls>
            <c:spPr>
              <a:noFill/>
              <a:ln w="25400">
                <a:noFill/>
              </a:ln>
            </c:spPr>
            <c:txPr>
              <a:bodyPr wrap="square" lIns="38100" tIns="19050" rIns="38100" bIns="19050" anchor="ctr">
                <a:spAutoFit/>
              </a:bodyPr>
              <a:lstStyle/>
              <a:p>
                <a:pP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(HIDE)'!$AM$29:$AM$34</c:f>
              <c:numCache>
                <c:formatCode>#,##0.0_ ;\-#,##0.0\ </c:formatCode>
                <c:ptCount val="6"/>
                <c:pt idx="0">
                  <c:v>40</c:v>
                </c:pt>
                <c:pt idx="1">
                  <c:v>55</c:v>
                </c:pt>
                <c:pt idx="2">
                  <c:v>40</c:v>
                </c:pt>
                <c:pt idx="3">
                  <c:v>73</c:v>
                </c:pt>
                <c:pt idx="4">
                  <c:v>105</c:v>
                </c:pt>
                <c:pt idx="5">
                  <c:v>141</c:v>
                </c:pt>
              </c:numCache>
            </c:numRef>
          </c:val>
          <c:smooth val="0"/>
          <c:extLst>
            <c:ext xmlns:c16="http://schemas.microsoft.com/office/drawing/2014/chart" uri="{C3380CC4-5D6E-409C-BE32-E72D297353CC}">
              <c16:uniqueId val="{00000002-7D9F-4C5D-861D-F41C9E6E9C88}"/>
            </c:ext>
          </c:extLst>
        </c:ser>
        <c:dLbls>
          <c:showLegendKey val="0"/>
          <c:showVal val="0"/>
          <c:showCatName val="0"/>
          <c:showSerName val="0"/>
          <c:showPercent val="0"/>
          <c:showBubbleSize val="0"/>
        </c:dLbls>
        <c:marker val="1"/>
        <c:smooth val="0"/>
        <c:axId val="227183624"/>
        <c:axId val="1"/>
      </c:lineChart>
      <c:catAx>
        <c:axId val="22718362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0_ ;\-#,##0.0\ "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7183624"/>
        <c:crosses val="autoZero"/>
        <c:crossBetween val="between"/>
        <c:majorUnit val="10"/>
      </c:valAx>
      <c:spPr>
        <a:solidFill>
          <a:schemeClr val="bg1">
            <a:lumMod val="85000"/>
          </a:schemeClr>
        </a:solidFill>
      </c:spPr>
    </c:plotArea>
    <c:legend>
      <c:legendPos val="r"/>
      <c:layout>
        <c:manualLayout>
          <c:xMode val="edge"/>
          <c:yMode val="edge"/>
          <c:x val="4.5751741765263636E-2"/>
          <c:y val="0.90925106964369184"/>
          <c:w val="0.83006637259347815"/>
          <c:h val="4.5375364038399257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(HIDE)'!$BU$27</c:f>
          <c:strCache>
            <c:ptCount val="1"/>
            <c:pt idx="0">
              <c:v>Manitoba Costs Not Covered By 80% Insured Value AgriInsurance - 2018</c:v>
            </c:pt>
          </c:strCache>
        </c:strRef>
      </c:tx>
      <c:overlay val="0"/>
      <c:txPr>
        <a:bodyPr/>
        <a:lstStyle/>
        <a:p>
          <a:pPr>
            <a:defRPr sz="1800" b="1" i="0" u="none" strike="noStrike" baseline="0">
              <a:solidFill>
                <a:srgbClr val="0080C0"/>
              </a:solidFill>
              <a:latin typeface="Calibri"/>
              <a:ea typeface="Calibri"/>
              <a:cs typeface="Calibri"/>
            </a:defRPr>
          </a:pPr>
          <a:endParaRPr lang="en-US"/>
        </a:p>
      </c:txPr>
    </c:title>
    <c:autoTitleDeleted val="0"/>
    <c:plotArea>
      <c:layout/>
      <c:barChart>
        <c:barDir val="col"/>
        <c:grouping val="stacked"/>
        <c:varyColors val="0"/>
        <c:ser>
          <c:idx val="0"/>
          <c:order val="0"/>
          <c:tx>
            <c:strRef>
              <c:f>'For PPT (HIDE)'!$BV$28</c:f>
              <c:strCache>
                <c:ptCount val="1"/>
                <c:pt idx="0">
                  <c:v>Operating Costs</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(HIDE)'!$BV$29:$BV$34</c:f>
              <c:numCache>
                <c:formatCode>"$"#,##0.00;\("$"#,##0.00\)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EAB-4050-BE7E-809DED356736}"/>
            </c:ext>
          </c:extLst>
        </c:ser>
        <c:ser>
          <c:idx val="1"/>
          <c:order val="1"/>
          <c:tx>
            <c:strRef>
              <c:f>'For PPT (HIDE)'!$BW$28</c:f>
              <c:strCache>
                <c:ptCount val="1"/>
                <c:pt idx="0">
                  <c:v> Fixed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(HIDE)'!$BW$29:$BW$34</c:f>
              <c:numCache>
                <c:formatCode>"$"#,##0.00;\("$"#,##0.00\)</c:formatCode>
                <c:ptCount val="6"/>
                <c:pt idx="0">
                  <c:v>49.263960928380925</c:v>
                </c:pt>
                <c:pt idx="1">
                  <c:v>62.32641765665602</c:v>
                </c:pt>
                <c:pt idx="2">
                  <c:v>54.809129328613267</c:v>
                </c:pt>
                <c:pt idx="3">
                  <c:v>98.584677391788887</c:v>
                </c:pt>
                <c:pt idx="4">
                  <c:v>38.60590601227409</c:v>
                </c:pt>
                <c:pt idx="5">
                  <c:v>148.92662822246649</c:v>
                </c:pt>
              </c:numCache>
            </c:numRef>
          </c:val>
          <c:extLst>
            <c:ext xmlns:c16="http://schemas.microsoft.com/office/drawing/2014/chart" uri="{C3380CC4-5D6E-409C-BE32-E72D297353CC}">
              <c16:uniqueId val="{00000001-AEAB-4050-BE7E-809DED356736}"/>
            </c:ext>
          </c:extLst>
        </c:ser>
        <c:ser>
          <c:idx val="2"/>
          <c:order val="2"/>
          <c:tx>
            <c:strRef>
              <c:f>'For PPT (HIDE)'!$BX$28</c:f>
              <c:strCache>
                <c:ptCount val="1"/>
                <c:pt idx="0">
                  <c:v>Labour</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(HIDE)'!$BX$29:$BX$34</c:f>
              <c:numCache>
                <c:formatCode>"$"#,##0.00;\("$"#,##0.00\)</c:formatCode>
                <c:ptCount val="6"/>
                <c:pt idx="0">
                  <c:v>30</c:v>
                </c:pt>
                <c:pt idx="1">
                  <c:v>30</c:v>
                </c:pt>
                <c:pt idx="2">
                  <c:v>30</c:v>
                </c:pt>
                <c:pt idx="3">
                  <c:v>30</c:v>
                </c:pt>
                <c:pt idx="4">
                  <c:v>30</c:v>
                </c:pt>
                <c:pt idx="5">
                  <c:v>29.999999999999943</c:v>
                </c:pt>
              </c:numCache>
            </c:numRef>
          </c:val>
          <c:extLst>
            <c:ext xmlns:c16="http://schemas.microsoft.com/office/drawing/2014/chart" uri="{C3380CC4-5D6E-409C-BE32-E72D297353CC}">
              <c16:uniqueId val="{00000002-AEAB-4050-BE7E-809DED356736}"/>
            </c:ext>
          </c:extLst>
        </c:ser>
        <c:dLbls>
          <c:showLegendKey val="0"/>
          <c:showVal val="0"/>
          <c:showCatName val="0"/>
          <c:showSerName val="0"/>
          <c:showPercent val="0"/>
          <c:showBubbleSize val="0"/>
        </c:dLbls>
        <c:gapWidth val="75"/>
        <c:overlap val="100"/>
        <c:axId val="463804992"/>
        <c:axId val="1"/>
      </c:barChart>
      <c:catAx>
        <c:axId val="463804992"/>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463804992"/>
        <c:crosses val="autoZero"/>
        <c:crossBetween val="between"/>
      </c:valAx>
      <c:spPr>
        <a:solidFill>
          <a:schemeClr val="bg1">
            <a:lumMod val="85000"/>
          </a:schemeClr>
        </a:solidFill>
      </c:spPr>
    </c:plotArea>
    <c:legend>
      <c:legendPos val="b"/>
      <c:layout>
        <c:manualLayout>
          <c:xMode val="edge"/>
          <c:yMode val="edge"/>
          <c:x val="0.21825958268846238"/>
          <c:y val="0.92362352074411758"/>
          <c:w val="0.55349503119857502"/>
          <c:h val="5.3285997145093744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'Chart data (HIDE)'!$A$5</c:f>
          <c:strCache>
            <c:ptCount val="1"/>
            <c:pt idx="0">
              <c:v>Manitoba - 80% Insured Value AgriInsurance Risk Analysis - 2022</c:v>
            </c:pt>
          </c:strCache>
        </c:strRef>
      </c:tx>
      <c:overlay val="0"/>
      <c:spPr>
        <a:solidFill>
          <a:sysClr val="window" lastClr="FFFFFF"/>
        </a:solidFill>
      </c:spPr>
      <c:txPr>
        <a:bodyPr/>
        <a:lstStyle/>
        <a:p>
          <a:pPr>
            <a:defRPr sz="18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335685159973898"/>
          <c:y val="0.1570344441739836"/>
          <c:w val="0.77106819604658261"/>
          <c:h val="0.65253598219021414"/>
        </c:manualLayout>
      </c:layout>
      <c:barChart>
        <c:barDir val="col"/>
        <c:grouping val="clustered"/>
        <c:varyColors val="0"/>
        <c:ser>
          <c:idx val="0"/>
          <c:order val="0"/>
          <c:tx>
            <c:strRef>
              <c:f>'Chart data (HIDE)'!$I$6</c:f>
              <c:strCache>
                <c:ptCount val="1"/>
                <c:pt idx="0">
                  <c:v>80% Insured Value Premium $/Acre</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(HIDE)'!$A$7:$A$13</c:f>
              <c:strCache>
                <c:ptCount val="7"/>
                <c:pt idx="0">
                  <c:v>Irrigated Potato</c:v>
                </c:pt>
                <c:pt idx="1">
                  <c:v>Canola</c:v>
                </c:pt>
                <c:pt idx="2">
                  <c:v>Wheat - Hard Red Spring</c:v>
                </c:pt>
                <c:pt idx="3">
                  <c:v>Soybeans</c:v>
                </c:pt>
                <c:pt idx="4">
                  <c:v>Barley</c:v>
                </c:pt>
                <c:pt idx="5">
                  <c:v>Oats</c:v>
                </c:pt>
                <c:pt idx="6">
                  <c:v>Corn</c:v>
                </c:pt>
              </c:strCache>
            </c:strRef>
          </c:cat>
          <c:val>
            <c:numRef>
              <c:f>'Chart data (HIDE)'!$I$7:$I$13</c:f>
              <c:numCache>
                <c:formatCode>"$"#,##0.00</c:formatCode>
                <c:ptCount val="7"/>
                <c:pt idx="0">
                  <c:v>55.04</c:v>
                </c:pt>
                <c:pt idx="1">
                  <c:v>7.4649999999999999</c:v>
                </c:pt>
                <c:pt idx="2">
                  <c:v>7.7024999999999988</c:v>
                </c:pt>
                <c:pt idx="3">
                  <c:v>12.662499999999998</c:v>
                </c:pt>
                <c:pt idx="4">
                  <c:v>8.8099999999999987</c:v>
                </c:pt>
                <c:pt idx="5">
                  <c:v>8.9199999999999982</c:v>
                </c:pt>
                <c:pt idx="6">
                  <c:v>28.31</c:v>
                </c:pt>
              </c:numCache>
            </c:numRef>
          </c:val>
          <c:extLst>
            <c:ext xmlns:c16="http://schemas.microsoft.com/office/drawing/2014/chart" uri="{C3380CC4-5D6E-409C-BE32-E72D297353CC}">
              <c16:uniqueId val="{00000000-6DE3-4BCC-A179-BDFEFA8D26BA}"/>
            </c:ext>
          </c:extLst>
        </c:ser>
        <c:dLbls>
          <c:showLegendKey val="0"/>
          <c:showVal val="0"/>
          <c:showCatName val="0"/>
          <c:showSerName val="0"/>
          <c:showPercent val="0"/>
          <c:showBubbleSize val="0"/>
        </c:dLbls>
        <c:gapWidth val="75"/>
        <c:axId val="225347552"/>
        <c:axId val="1"/>
      </c:barChart>
      <c:lineChart>
        <c:grouping val="standard"/>
        <c:varyColors val="0"/>
        <c:ser>
          <c:idx val="1"/>
          <c:order val="1"/>
          <c:tx>
            <c:strRef>
              <c:f>'Chart data (HIDE)'!$J$6</c:f>
              <c:strCache>
                <c:ptCount val="1"/>
                <c:pt idx="0">
                  <c:v>Premium % of Insured Value</c:v>
                </c:pt>
              </c:strCache>
            </c:strRef>
          </c:tx>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data (HIDE)'!$J$7:$J$13</c:f>
              <c:numCache>
                <c:formatCode>0.00%</c:formatCode>
                <c:ptCount val="7"/>
                <c:pt idx="0">
                  <c:v>2.0859388619808839E-2</c:v>
                </c:pt>
                <c:pt idx="1">
                  <c:v>2.2592047841271567E-2</c:v>
                </c:pt>
                <c:pt idx="2">
                  <c:v>2.8111436984395544E-2</c:v>
                </c:pt>
                <c:pt idx="3">
                  <c:v>4.4799158253446651E-2</c:v>
                </c:pt>
                <c:pt idx="4">
                  <c:v>4.0200555598144103E-2</c:v>
                </c:pt>
                <c:pt idx="5">
                  <c:v>3.3968529604411331E-2</c:v>
                </c:pt>
                <c:pt idx="6">
                  <c:v>8.1833675583675575E-2</c:v>
                </c:pt>
              </c:numCache>
            </c:numRef>
          </c:val>
          <c:smooth val="0"/>
          <c:extLst>
            <c:ext xmlns:c16="http://schemas.microsoft.com/office/drawing/2014/chart" uri="{C3380CC4-5D6E-409C-BE32-E72D297353CC}">
              <c16:uniqueId val="{00000001-6DE3-4BCC-A179-BDFEFA8D26BA}"/>
            </c:ext>
          </c:extLst>
        </c:ser>
        <c:dLbls>
          <c:showLegendKey val="0"/>
          <c:showVal val="0"/>
          <c:showCatName val="0"/>
          <c:showSerName val="0"/>
          <c:showPercent val="0"/>
          <c:showBubbleSize val="0"/>
        </c:dLbls>
        <c:marker val="1"/>
        <c:smooth val="0"/>
        <c:axId val="3"/>
        <c:axId val="4"/>
      </c:lineChart>
      <c:catAx>
        <c:axId val="225347552"/>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Per Acre</a:t>
                </a:r>
              </a:p>
            </c:rich>
          </c:tx>
          <c:overlay val="0"/>
        </c:title>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5347552"/>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2.9232643118148598E-2"/>
          <c:y val="0.93893129770992367"/>
          <c:w val="0.86358099878197325"/>
          <c:h val="4.5801526717557217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(HIDE)'!$AC$27</c:f>
          <c:strCache>
            <c:ptCount val="1"/>
            <c:pt idx="0">
              <c:v>Manitoba Breakeven Yields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2795741446606937"/>
          <c:y val="0.10045871347714269"/>
          <c:w val="0.79260581841927913"/>
          <c:h val="0.7248417442057572"/>
        </c:manualLayout>
      </c:layout>
      <c:barChart>
        <c:barDir val="col"/>
        <c:grouping val="clustered"/>
        <c:varyColors val="0"/>
        <c:ser>
          <c:idx val="1"/>
          <c:order val="0"/>
          <c:tx>
            <c:strRef>
              <c:f>'For PPT (HIDE)'!$Q$6</c:f>
              <c:strCache>
                <c:ptCount val="1"/>
                <c:pt idx="0">
                  <c:v>B/E Yield Over Op Costs</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(HIDE)'!$AD$29:$AD$34</c:f>
              <c:numCache>
                <c:formatCode>#,##0.0_ ;\-#,##0.0\ </c:formatCode>
                <c:ptCount val="6"/>
                <c:pt idx="0">
                  <c:v>21.8</c:v>
                </c:pt>
                <c:pt idx="1">
                  <c:v>29.1</c:v>
                </c:pt>
                <c:pt idx="2">
                  <c:v>19.3</c:v>
                </c:pt>
                <c:pt idx="3">
                  <c:v>46.3</c:v>
                </c:pt>
                <c:pt idx="4">
                  <c:v>48.4</c:v>
                </c:pt>
                <c:pt idx="5">
                  <c:v>84.5</c:v>
                </c:pt>
              </c:numCache>
            </c:numRef>
          </c:val>
          <c:extLst>
            <c:ext xmlns:c16="http://schemas.microsoft.com/office/drawing/2014/chart" uri="{C3380CC4-5D6E-409C-BE32-E72D297353CC}">
              <c16:uniqueId val="{00000000-56EC-4CC1-853E-D9F9CECD5FAD}"/>
            </c:ext>
          </c:extLst>
        </c:ser>
        <c:ser>
          <c:idx val="0"/>
          <c:order val="1"/>
          <c:tx>
            <c:strRef>
              <c:f>'For PPT (HIDE)'!$S$6</c:f>
              <c:strCache>
                <c:ptCount val="1"/>
                <c:pt idx="0">
                  <c:v>Breakeven Yield Over Total Costs</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(HIDE)'!$AF$29:$AF$34</c:f>
              <c:numCache>
                <c:formatCode>#,##0.0_ ;\-#,##0.0\ </c:formatCode>
                <c:ptCount val="6"/>
                <c:pt idx="0">
                  <c:v>36.4</c:v>
                </c:pt>
                <c:pt idx="1">
                  <c:v>53.5</c:v>
                </c:pt>
                <c:pt idx="2">
                  <c:v>35</c:v>
                </c:pt>
                <c:pt idx="3">
                  <c:v>90.3</c:v>
                </c:pt>
                <c:pt idx="4">
                  <c:v>101.9</c:v>
                </c:pt>
                <c:pt idx="5">
                  <c:v>131.19999999999999</c:v>
                </c:pt>
              </c:numCache>
            </c:numRef>
          </c:val>
          <c:extLst>
            <c:ext xmlns:c16="http://schemas.microsoft.com/office/drawing/2014/chart" uri="{C3380CC4-5D6E-409C-BE32-E72D297353CC}">
              <c16:uniqueId val="{00000001-56EC-4CC1-853E-D9F9CECD5FAD}"/>
            </c:ext>
          </c:extLst>
        </c:ser>
        <c:dLbls>
          <c:showLegendKey val="0"/>
          <c:showVal val="0"/>
          <c:showCatName val="0"/>
          <c:showSerName val="0"/>
          <c:showPercent val="0"/>
          <c:showBubbleSize val="0"/>
        </c:dLbls>
        <c:gapWidth val="75"/>
        <c:overlap val="-25"/>
        <c:axId val="463803024"/>
        <c:axId val="1"/>
      </c:barChart>
      <c:catAx>
        <c:axId val="46380302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0_ ;\-#,##0.0\ "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463803024"/>
        <c:crosses val="autoZero"/>
        <c:crossBetween val="between"/>
        <c:majorUnit val="10"/>
      </c:valAx>
      <c:spPr>
        <a:solidFill>
          <a:schemeClr val="bg1">
            <a:lumMod val="85000"/>
          </a:schemeClr>
        </a:solidFill>
      </c:spPr>
    </c:plotArea>
    <c:legend>
      <c:legendPos val="r"/>
      <c:layout>
        <c:manualLayout>
          <c:xMode val="edge"/>
          <c:yMode val="edge"/>
          <c:x val="1.2875482255262504E-2"/>
          <c:y val="0.92465761576757222"/>
          <c:w val="0.81974369965931915"/>
          <c:h val="5.1369847804557445E-2"/>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44" l="0.70000000000000062" r="0.70000000000000062" t="0.75000000000000144" header="0.30000000000000032" footer="0.30000000000000032"/>
    <c:pageSetup orientation="portrait"/>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(HIDE)'!$AQ$27</c:f>
          <c:strCache>
            <c:ptCount val="1"/>
            <c:pt idx="0">
              <c:v>Manitoba Crop Marginal Returns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4105751940157399"/>
          <c:y val="0.11196367403350475"/>
          <c:w val="0.80143035387235684"/>
          <c:h val="0.69420951435665046"/>
        </c:manualLayout>
      </c:layout>
      <c:barChart>
        <c:barDir val="col"/>
        <c:grouping val="clustered"/>
        <c:varyColors val="0"/>
        <c:ser>
          <c:idx val="1"/>
          <c:order val="0"/>
          <c:tx>
            <c:strRef>
              <c:f>'For PPT (HIDE)'!$J$6</c:f>
              <c:strCache>
                <c:ptCount val="1"/>
                <c:pt idx="0">
                  <c:v>Gross Revenue</c:v>
                </c:pt>
              </c:strCache>
            </c:strRef>
          </c:tx>
          <c:invertIfNegative val="0"/>
          <c:cat>
            <c:strRef>
              <c:f>'For PPT (HIDE)'!$B$7:$B$12</c:f>
              <c:strCache>
                <c:ptCount val="6"/>
                <c:pt idx="0">
                  <c:v>Canola</c:v>
                </c:pt>
                <c:pt idx="1">
                  <c:v>Wheat - Hard Red Spring</c:v>
                </c:pt>
                <c:pt idx="2">
                  <c:v>Soybeans</c:v>
                </c:pt>
                <c:pt idx="3">
                  <c:v>Barley</c:v>
                </c:pt>
                <c:pt idx="4">
                  <c:v>Oats</c:v>
                </c:pt>
                <c:pt idx="5">
                  <c:v>Corn</c:v>
                </c:pt>
              </c:strCache>
            </c:strRef>
          </c:cat>
          <c:val>
            <c:numRef>
              <c:f>'For PPT (HIDE)'!$AR$29:$AR$34</c:f>
              <c:numCache>
                <c:formatCode>"$"#,##0.00</c:formatCode>
                <c:ptCount val="6"/>
                <c:pt idx="0">
                  <c:v>450</c:v>
                </c:pt>
                <c:pt idx="1">
                  <c:v>376.75</c:v>
                </c:pt>
                <c:pt idx="2">
                  <c:v>420</c:v>
                </c:pt>
                <c:pt idx="3">
                  <c:v>281.05</c:v>
                </c:pt>
                <c:pt idx="4">
                  <c:v>341.25</c:v>
                </c:pt>
                <c:pt idx="5">
                  <c:v>564</c:v>
                </c:pt>
              </c:numCache>
            </c:numRef>
          </c:val>
          <c:extLst>
            <c:ext xmlns:c16="http://schemas.microsoft.com/office/drawing/2014/chart" uri="{C3380CC4-5D6E-409C-BE32-E72D297353CC}">
              <c16:uniqueId val="{00000000-A866-4F0E-B3EB-22156C14C9AF}"/>
            </c:ext>
          </c:extLst>
        </c:ser>
        <c:ser>
          <c:idx val="3"/>
          <c:order val="1"/>
          <c:tx>
            <c:strRef>
              <c:f>'For PPT (HIDE)'!$L$6</c:f>
              <c:strCache>
                <c:ptCount val="1"/>
                <c:pt idx="0">
                  <c:v>Margin Over Operating</c:v>
                </c:pt>
              </c:strCache>
            </c:strRef>
          </c:tx>
          <c:spPr>
            <a:solidFill>
              <a:schemeClr val="accent1"/>
            </a:solidFill>
          </c:spPr>
          <c:invertIfNegative val="0"/>
          <c:cat>
            <c:strRef>
              <c:f>'For PPT (HIDE)'!$B$7:$B$12</c:f>
              <c:strCache>
                <c:ptCount val="6"/>
                <c:pt idx="0">
                  <c:v>Canola</c:v>
                </c:pt>
                <c:pt idx="1">
                  <c:v>Wheat - Hard Red Spring</c:v>
                </c:pt>
                <c:pt idx="2">
                  <c:v>Soybeans</c:v>
                </c:pt>
                <c:pt idx="3">
                  <c:v>Barley</c:v>
                </c:pt>
                <c:pt idx="4">
                  <c:v>Oats</c:v>
                </c:pt>
                <c:pt idx="5">
                  <c:v>Corn</c:v>
                </c:pt>
              </c:strCache>
            </c:strRef>
          </c:cat>
          <c:val>
            <c:numRef>
              <c:f>'For PPT (HIDE)'!$AT$29:$AT$34</c:f>
              <c:numCache>
                <c:formatCode>"$"#,##0.00;\("$"#,##0.00\)</c:formatCode>
                <c:ptCount val="6"/>
                <c:pt idx="0">
                  <c:v>205.04956407161905</c:v>
                </c:pt>
                <c:pt idx="1">
                  <c:v>177.26116671834399</c:v>
                </c:pt>
                <c:pt idx="2">
                  <c:v>217.27999567138673</c:v>
                </c:pt>
                <c:pt idx="3">
                  <c:v>102.66673823321113</c:v>
                </c:pt>
                <c:pt idx="4">
                  <c:v>183.87400961272593</c:v>
                </c:pt>
                <c:pt idx="5">
                  <c:v>226.11314990253351</c:v>
                </c:pt>
              </c:numCache>
            </c:numRef>
          </c:val>
          <c:extLst>
            <c:ext xmlns:c16="http://schemas.microsoft.com/office/drawing/2014/chart" uri="{C3380CC4-5D6E-409C-BE32-E72D297353CC}">
              <c16:uniqueId val="{00000001-A866-4F0E-B3EB-22156C14C9AF}"/>
            </c:ext>
          </c:extLst>
        </c:ser>
        <c:ser>
          <c:idx val="4"/>
          <c:order val="2"/>
          <c:tx>
            <c:strRef>
              <c:f>'For PPT (HIDE)'!$M$6</c:f>
              <c:strCache>
                <c:ptCount val="1"/>
                <c:pt idx="0">
                  <c:v>Margin Over Operating &amp; Fixed</c:v>
                </c:pt>
              </c:strCache>
            </c:strRef>
          </c:tx>
          <c:spPr>
            <a:solidFill>
              <a:srgbClr val="92D050"/>
            </a:solidFill>
          </c:spPr>
          <c:invertIfNegative val="0"/>
          <c:cat>
            <c:strRef>
              <c:f>'For PPT (HIDE)'!$B$7:$B$12</c:f>
              <c:strCache>
                <c:ptCount val="6"/>
                <c:pt idx="0">
                  <c:v>Canola</c:v>
                </c:pt>
                <c:pt idx="1">
                  <c:v>Wheat - Hard Red Spring</c:v>
                </c:pt>
                <c:pt idx="2">
                  <c:v>Soybeans</c:v>
                </c:pt>
                <c:pt idx="3">
                  <c:v>Barley</c:v>
                </c:pt>
                <c:pt idx="4">
                  <c:v>Oats</c:v>
                </c:pt>
                <c:pt idx="5">
                  <c:v>Corn</c:v>
                </c:pt>
              </c:strCache>
            </c:strRef>
          </c:cat>
          <c:val>
            <c:numRef>
              <c:f>'For PPT (HIDE)'!$AU$29:$AU$34</c:f>
              <c:numCache>
                <c:formatCode>"$"#,##0.00;\("$"#,##0.00\)</c:formatCode>
                <c:ptCount val="6"/>
                <c:pt idx="0">
                  <c:v>70.31003907161903</c:v>
                </c:pt>
                <c:pt idx="1">
                  <c:v>40.424782343343963</c:v>
                </c:pt>
                <c:pt idx="2">
                  <c:v>82.540470671386743</c:v>
                </c:pt>
                <c:pt idx="3">
                  <c:v>-36.685877391788893</c:v>
                </c:pt>
                <c:pt idx="4">
                  <c:v>40.048093987725906</c:v>
                </c:pt>
                <c:pt idx="5">
                  <c:v>69.127771777533496</c:v>
                </c:pt>
              </c:numCache>
            </c:numRef>
          </c:val>
          <c:extLst>
            <c:ext xmlns:c16="http://schemas.microsoft.com/office/drawing/2014/chart" uri="{C3380CC4-5D6E-409C-BE32-E72D297353CC}">
              <c16:uniqueId val="{00000002-A866-4F0E-B3EB-22156C14C9AF}"/>
            </c:ext>
          </c:extLst>
        </c:ser>
        <c:dLbls>
          <c:showLegendKey val="0"/>
          <c:showVal val="0"/>
          <c:showCatName val="0"/>
          <c:showSerName val="0"/>
          <c:showPercent val="0"/>
          <c:showBubbleSize val="0"/>
        </c:dLbls>
        <c:gapWidth val="150"/>
        <c:axId val="463801712"/>
        <c:axId val="1"/>
      </c:barChart>
      <c:catAx>
        <c:axId val="463801712"/>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 sourceLinked="1"/>
        <c:majorTickMark val="in"/>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3801712"/>
        <c:crosses val="autoZero"/>
        <c:crossBetween val="between"/>
      </c:valAx>
    </c:plotArea>
    <c:legend>
      <c:legendPos val="r"/>
      <c:layout>
        <c:manualLayout>
          <c:xMode val="edge"/>
          <c:yMode val="edge"/>
          <c:x val="5.0847505447957617E-2"/>
          <c:y val="0.9269239835586589"/>
          <c:w val="0.89689382886545121"/>
          <c:h val="5.7692269598375701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(HIDE)'!$BE$26</c:f>
          <c:strCache>
            <c:ptCount val="1"/>
            <c:pt idx="0">
              <c:v>Manitoba Yield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2795741446606937"/>
          <c:y val="9.9951206490243943E-2"/>
          <c:w val="0.82439925172440731"/>
          <c:h val="0.72701746135854572"/>
        </c:manualLayout>
      </c:layout>
      <c:barChart>
        <c:barDir val="col"/>
        <c:grouping val="clustered"/>
        <c:varyColors val="0"/>
        <c:ser>
          <c:idx val="0"/>
          <c:order val="0"/>
          <c:tx>
            <c:strRef>
              <c:f>'For PPT (HIDE)'!$H$6</c:f>
              <c:strCache>
                <c:ptCount val="1"/>
                <c:pt idx="0">
                  <c:v>Target Yield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(HIDE)'!$BF$29:$BF$34</c:f>
              <c:numCache>
                <c:formatCode>#,##0.0_ ;\-#,##0.0\ </c:formatCode>
                <c:ptCount val="6"/>
                <c:pt idx="0">
                  <c:v>40</c:v>
                </c:pt>
                <c:pt idx="1">
                  <c:v>55</c:v>
                </c:pt>
                <c:pt idx="2">
                  <c:v>40</c:v>
                </c:pt>
                <c:pt idx="3">
                  <c:v>73</c:v>
                </c:pt>
                <c:pt idx="4">
                  <c:v>105</c:v>
                </c:pt>
                <c:pt idx="5">
                  <c:v>141</c:v>
                </c:pt>
              </c:numCache>
            </c:numRef>
          </c:val>
          <c:extLst>
            <c:ext xmlns:c16="http://schemas.microsoft.com/office/drawing/2014/chart" uri="{C3380CC4-5D6E-409C-BE32-E72D297353CC}">
              <c16:uniqueId val="{00000000-49B9-4C2B-B631-0991B46F33CB}"/>
            </c:ext>
          </c:extLst>
        </c:ser>
        <c:dLbls>
          <c:showLegendKey val="0"/>
          <c:showVal val="0"/>
          <c:showCatName val="0"/>
          <c:showSerName val="0"/>
          <c:showPercent val="0"/>
          <c:showBubbleSize val="0"/>
        </c:dLbls>
        <c:gapWidth val="75"/>
        <c:overlap val="-25"/>
        <c:axId val="463794168"/>
        <c:axId val="1"/>
      </c:barChart>
      <c:catAx>
        <c:axId val="463794168"/>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0_ ;\-#,##0.0\ "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463794168"/>
        <c:crosses val="autoZero"/>
        <c:crossBetween val="between"/>
        <c:majorUnit val="10"/>
      </c:valAx>
      <c:spPr>
        <a:solidFill>
          <a:schemeClr val="bg1">
            <a:lumMod val="85000"/>
          </a:schemeClr>
        </a:solidFill>
      </c:spPr>
    </c:plotArea>
    <c:legend>
      <c:legendPos val="r"/>
      <c:layout>
        <c:manualLayout>
          <c:xMode val="edge"/>
          <c:yMode val="edge"/>
          <c:x val="0.391989110243741"/>
          <c:y val="0.93696757602269409"/>
          <c:w val="0.21030074679060534"/>
          <c:h val="5.1107399453856117E-2"/>
        </c:manualLayout>
      </c:layout>
      <c:overlay val="0"/>
      <c:txPr>
        <a:bodyPr/>
        <a:lstStyle/>
        <a:p>
          <a:pPr>
            <a:defRPr sz="147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(HIDE)'!$BE$26</c:f>
          <c:strCache>
            <c:ptCount val="1"/>
            <c:pt idx="0">
              <c:v>Manitoba Yield per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2814114819336209"/>
          <c:y val="9.9951206490243943E-2"/>
          <c:w val="0.76208739241321521"/>
          <c:h val="0.72028183555526482"/>
        </c:manualLayout>
      </c:layout>
      <c:barChart>
        <c:barDir val="col"/>
        <c:grouping val="clustered"/>
        <c:varyColors val="0"/>
        <c:ser>
          <c:idx val="0"/>
          <c:order val="0"/>
          <c:tx>
            <c:strRef>
              <c:f>'For PPT (HIDE)'!$BF$28</c:f>
              <c:strCache>
                <c:ptCount val="1"/>
                <c:pt idx="0">
                  <c:v>Yield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(HIDE)'!$BF$29:$BF$34</c:f>
              <c:numCache>
                <c:formatCode>#,##0.0_ ;\-#,##0.0\ </c:formatCode>
                <c:ptCount val="6"/>
                <c:pt idx="0">
                  <c:v>40</c:v>
                </c:pt>
                <c:pt idx="1">
                  <c:v>55</c:v>
                </c:pt>
                <c:pt idx="2">
                  <c:v>40</c:v>
                </c:pt>
                <c:pt idx="3">
                  <c:v>73</c:v>
                </c:pt>
                <c:pt idx="4">
                  <c:v>105</c:v>
                </c:pt>
                <c:pt idx="5">
                  <c:v>141</c:v>
                </c:pt>
              </c:numCache>
            </c:numRef>
          </c:val>
          <c:extLst>
            <c:ext xmlns:c16="http://schemas.microsoft.com/office/drawing/2014/chart" uri="{C3380CC4-5D6E-409C-BE32-E72D297353CC}">
              <c16:uniqueId val="{00000000-6004-432A-A512-4FABE8CDCA8C}"/>
            </c:ext>
          </c:extLst>
        </c:ser>
        <c:dLbls>
          <c:showLegendKey val="0"/>
          <c:showVal val="0"/>
          <c:showCatName val="0"/>
          <c:showSerName val="0"/>
          <c:showPercent val="0"/>
          <c:showBubbleSize val="0"/>
        </c:dLbls>
        <c:gapWidth val="75"/>
        <c:axId val="463794496"/>
        <c:axId val="1"/>
      </c:barChart>
      <c:lineChart>
        <c:grouping val="standard"/>
        <c:varyColors val="0"/>
        <c:ser>
          <c:idx val="1"/>
          <c:order val="1"/>
          <c:tx>
            <c:strRef>
              <c:f>'For PPT (HIDE)'!$AN$28</c:f>
              <c:strCache>
                <c:ptCount val="1"/>
                <c:pt idx="0">
                  <c:v>$/unit</c:v>
                </c:pt>
              </c:strCache>
            </c:strRef>
          </c:tx>
          <c:dLbls>
            <c:spPr>
              <a:noFill/>
              <a:ln w="25400">
                <a:noFill/>
              </a:ln>
            </c:spPr>
            <c:txPr>
              <a:bodyPr wrap="square" lIns="38100" tIns="19050" rIns="38100" bIns="19050" anchor="ctr">
                <a:spAutoFit/>
              </a:bodyPr>
              <a:lstStyle/>
              <a:p>
                <a:pP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(HIDE)'!$AN$29:$AN$34</c:f>
              <c:numCache>
                <c:formatCode>"$"#,##0.00</c:formatCode>
                <c:ptCount val="6"/>
                <c:pt idx="0">
                  <c:v>11.25</c:v>
                </c:pt>
                <c:pt idx="1">
                  <c:v>6.85</c:v>
                </c:pt>
                <c:pt idx="2">
                  <c:v>10.5</c:v>
                </c:pt>
                <c:pt idx="3">
                  <c:v>3.85</c:v>
                </c:pt>
                <c:pt idx="4">
                  <c:v>3.25</c:v>
                </c:pt>
                <c:pt idx="5">
                  <c:v>4</c:v>
                </c:pt>
              </c:numCache>
            </c:numRef>
          </c:val>
          <c:smooth val="0"/>
          <c:extLst>
            <c:ext xmlns:c16="http://schemas.microsoft.com/office/drawing/2014/chart" uri="{C3380CC4-5D6E-409C-BE32-E72D297353CC}">
              <c16:uniqueId val="{00000001-6004-432A-A512-4FABE8CDCA8C}"/>
            </c:ext>
          </c:extLst>
        </c:ser>
        <c:dLbls>
          <c:showLegendKey val="0"/>
          <c:showVal val="0"/>
          <c:showCatName val="0"/>
          <c:showSerName val="0"/>
          <c:showPercent val="0"/>
          <c:showBubbleSize val="0"/>
        </c:dLbls>
        <c:marker val="1"/>
        <c:smooth val="0"/>
        <c:axId val="3"/>
        <c:axId val="4"/>
      </c:lineChart>
      <c:catAx>
        <c:axId val="46379449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Yield Per Acre</a:t>
                </a:r>
              </a:p>
            </c:rich>
          </c:tx>
          <c:overlay val="0"/>
        </c:title>
        <c:numFmt formatCode="#,##0.0_ ;\-#,##0.0\ "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3794496"/>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1400" b="1" i="0" u="none" strike="noStrike" baseline="0">
                    <a:solidFill>
                      <a:srgbClr val="000000"/>
                    </a:solidFill>
                    <a:latin typeface="Calibri"/>
                    <a:ea typeface="Calibri"/>
                    <a:cs typeface="Calibri"/>
                  </a:defRPr>
                </a:pPr>
                <a:r>
                  <a:rPr lang="en-US"/>
                  <a:t>$ Per Unit </a:t>
                </a:r>
              </a:p>
            </c:rich>
          </c:tx>
          <c:overlay val="0"/>
        </c:title>
        <c:numFmt formatCode="&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plotArea>
    <c:legend>
      <c:legendPos val="r"/>
      <c:layout>
        <c:manualLayout>
          <c:xMode val="edge"/>
          <c:yMode val="edge"/>
          <c:x val="2.2922687031409452E-2"/>
          <c:y val="0.93867122670272274"/>
          <c:w val="0.57163320868965983"/>
          <c:h val="4.4292973479325148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44" l="0.70000000000000062" r="0.70000000000000062" t="0.75000000000000144" header="0.30000000000000032" footer="0.30000000000000032"/>
    <c:pageSetup orientation="portrait"/>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(HIDE)'!$AX$27</c:f>
          <c:strCache>
            <c:ptCount val="1"/>
            <c:pt idx="0">
              <c:v>Manitoba - 80% Insured Value AgriInsurance Risk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1236492218757754"/>
          <c:y val="0.15741869752405893"/>
          <c:w val="0.79221077086056435"/>
          <c:h val="0.66807091009755193"/>
        </c:manualLayout>
      </c:layout>
      <c:barChart>
        <c:barDir val="col"/>
        <c:grouping val="clustered"/>
        <c:varyColors val="0"/>
        <c:ser>
          <c:idx val="0"/>
          <c:order val="0"/>
          <c:tx>
            <c:strRef>
              <c:f>'For PPT (HIDE)'!$AZ$28</c:f>
              <c:strCache>
                <c:ptCount val="1"/>
                <c:pt idx="0">
                  <c:v>80% Insured Value</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(HIDE)'!$AZ$29:$AZ$34</c:f>
              <c:numCache>
                <c:formatCode>"$"#,##0_);\("$"#,##0\)</c:formatCode>
                <c:ptCount val="6"/>
                <c:pt idx="0">
                  <c:v>330.42600000000004</c:v>
                </c:pt>
                <c:pt idx="1">
                  <c:v>273.99880000000002</c:v>
                </c:pt>
                <c:pt idx="2">
                  <c:v>282.65039999999999</c:v>
                </c:pt>
                <c:pt idx="3">
                  <c:v>219.15120000000002</c:v>
                </c:pt>
                <c:pt idx="4">
                  <c:v>262.596</c:v>
                </c:pt>
                <c:pt idx="5">
                  <c:v>345.94560000000001</c:v>
                </c:pt>
              </c:numCache>
            </c:numRef>
          </c:val>
          <c:extLst>
            <c:ext xmlns:c16="http://schemas.microsoft.com/office/drawing/2014/chart" uri="{C3380CC4-5D6E-409C-BE32-E72D297353CC}">
              <c16:uniqueId val="{00000000-E1CA-4BD5-9AE4-B61783B96510}"/>
            </c:ext>
          </c:extLst>
        </c:ser>
        <c:dLbls>
          <c:showLegendKey val="0"/>
          <c:showVal val="0"/>
          <c:showCatName val="0"/>
          <c:showSerName val="0"/>
          <c:showPercent val="0"/>
          <c:showBubbleSize val="0"/>
        </c:dLbls>
        <c:gapWidth val="75"/>
        <c:axId val="463793184"/>
        <c:axId val="1"/>
      </c:barChart>
      <c:lineChart>
        <c:grouping val="standard"/>
        <c:varyColors val="0"/>
        <c:ser>
          <c:idx val="1"/>
          <c:order val="1"/>
          <c:tx>
            <c:strRef>
              <c:f>'For PPT (HIDE)'!$BB$28</c:f>
              <c:strCache>
                <c:ptCount val="1"/>
                <c:pt idx="0">
                  <c:v>Coverage of Operating Costs</c:v>
                </c:pt>
              </c:strCache>
            </c:strRef>
          </c:tx>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(HIDE)'!$BB$29:$BB$34</c:f>
              <c:numCache>
                <c:formatCode>0%</c:formatCode>
                <c:ptCount val="6"/>
                <c:pt idx="0">
                  <c:v>1.3489504468430935</c:v>
                </c:pt>
                <c:pt idx="1">
                  <c:v>1.3735044488086421</c:v>
                </c:pt>
                <c:pt idx="2">
                  <c:v>1.3942896308438211</c:v>
                </c:pt>
                <c:pt idx="3">
                  <c:v>1.2285412758429628</c:v>
                </c:pt>
                <c:pt idx="4">
                  <c:v>1.6685899758520875</c:v>
                </c:pt>
                <c:pt idx="5">
                  <c:v>1.0238504395782462</c:v>
                </c:pt>
              </c:numCache>
            </c:numRef>
          </c:val>
          <c:smooth val="0"/>
          <c:extLst>
            <c:ext xmlns:c16="http://schemas.microsoft.com/office/drawing/2014/chart" uri="{C3380CC4-5D6E-409C-BE32-E72D297353CC}">
              <c16:uniqueId val="{00000001-E1CA-4BD5-9AE4-B61783B96510}"/>
            </c:ext>
          </c:extLst>
        </c:ser>
        <c:ser>
          <c:idx val="2"/>
          <c:order val="2"/>
          <c:tx>
            <c:strRef>
              <c:f>'For PPT (HIDE)'!$BC$28</c:f>
              <c:strCache>
                <c:ptCount val="1"/>
                <c:pt idx="0">
                  <c:v>Coverage of Total Costs </c:v>
                </c:pt>
              </c:strCache>
            </c:strRef>
          </c:tx>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(HIDE)'!$BC$29:$BC$34</c:f>
              <c:numCache>
                <c:formatCode>0%</c:formatCode>
                <c:ptCount val="6"/>
                <c:pt idx="0">
                  <c:v>0.80652696309969563</c:v>
                </c:pt>
                <c:pt idx="1">
                  <c:v>0.7479659788445403</c:v>
                </c:pt>
                <c:pt idx="2">
                  <c:v>0.76920144244573452</c:v>
                </c:pt>
                <c:pt idx="3">
                  <c:v>0.63022314994861917</c:v>
                </c:pt>
                <c:pt idx="4">
                  <c:v>0.79285775604886888</c:v>
                </c:pt>
                <c:pt idx="5">
                  <c:v>0.65910440941327797</c:v>
                </c:pt>
              </c:numCache>
            </c:numRef>
          </c:val>
          <c:smooth val="0"/>
          <c:extLst>
            <c:ext xmlns:c16="http://schemas.microsoft.com/office/drawing/2014/chart" uri="{C3380CC4-5D6E-409C-BE32-E72D297353CC}">
              <c16:uniqueId val="{00000002-E1CA-4BD5-9AE4-B61783B96510}"/>
            </c:ext>
          </c:extLst>
        </c:ser>
        <c:dLbls>
          <c:showLegendKey val="0"/>
          <c:showVal val="0"/>
          <c:showCatName val="0"/>
          <c:showSerName val="0"/>
          <c:showPercent val="0"/>
          <c:showBubbleSize val="0"/>
        </c:dLbls>
        <c:marker val="1"/>
        <c:smooth val="0"/>
        <c:axId val="3"/>
        <c:axId val="4"/>
      </c:lineChart>
      <c:catAx>
        <c:axId val="46379318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Per Acre</a:t>
                </a:r>
              </a:p>
            </c:rich>
          </c:tx>
          <c:overlay val="0"/>
        </c:title>
        <c:numFmt formatCode="&quot;$&quot;#,##0_);\(&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3793184"/>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2.7100271002710029E-2"/>
          <c:y val="0.92321270628842633"/>
          <c:w val="0.90108514890923186"/>
          <c:h val="5.9337000683133745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CA"/>
              <a:t>MASC - 5 Year Avg Other Crop Seeded Acres</a:t>
            </a:r>
          </a:p>
        </c:rich>
      </c:tx>
      <c:overlay val="0"/>
    </c:title>
    <c:autoTitleDeleted val="0"/>
    <c:plotArea>
      <c:layout>
        <c:manualLayout>
          <c:layoutTarget val="inner"/>
          <c:xMode val="edge"/>
          <c:yMode val="edge"/>
          <c:x val="0.23477500673632526"/>
          <c:y val="0.25364457102436666"/>
          <c:w val="0.40877698272506813"/>
          <c:h val="0.50831369483069933"/>
        </c:manualLayout>
      </c:layout>
      <c:pieChart>
        <c:varyColors val="1"/>
        <c:ser>
          <c:idx val="0"/>
          <c:order val="0"/>
          <c:tx>
            <c:v>5 yr Average Acres</c:v>
          </c:tx>
          <c:dPt>
            <c:idx val="0"/>
            <c:bubble3D val="0"/>
            <c:extLst>
              <c:ext xmlns:c16="http://schemas.microsoft.com/office/drawing/2014/chart" uri="{C3380CC4-5D6E-409C-BE32-E72D297353CC}">
                <c16:uniqueId val="{00000000-2283-4309-B131-4040660F7446}"/>
              </c:ext>
            </c:extLst>
          </c:dPt>
          <c:dPt>
            <c:idx val="1"/>
            <c:bubble3D val="0"/>
            <c:extLst>
              <c:ext xmlns:c16="http://schemas.microsoft.com/office/drawing/2014/chart" uri="{C3380CC4-5D6E-409C-BE32-E72D297353CC}">
                <c16:uniqueId val="{00000001-2283-4309-B131-4040660F7446}"/>
              </c:ext>
            </c:extLst>
          </c:dPt>
          <c:dPt>
            <c:idx val="2"/>
            <c:bubble3D val="0"/>
            <c:extLst>
              <c:ext xmlns:c16="http://schemas.microsoft.com/office/drawing/2014/chart" uri="{C3380CC4-5D6E-409C-BE32-E72D297353CC}">
                <c16:uniqueId val="{00000002-2283-4309-B131-4040660F7446}"/>
              </c:ext>
            </c:extLst>
          </c:dPt>
          <c:dPt>
            <c:idx val="3"/>
            <c:bubble3D val="0"/>
            <c:extLst>
              <c:ext xmlns:c16="http://schemas.microsoft.com/office/drawing/2014/chart" uri="{C3380CC4-5D6E-409C-BE32-E72D297353CC}">
                <c16:uniqueId val="{00000003-2283-4309-B131-4040660F7446}"/>
              </c:ext>
            </c:extLst>
          </c:dPt>
          <c:dPt>
            <c:idx val="4"/>
            <c:bubble3D val="0"/>
            <c:extLst>
              <c:ext xmlns:c16="http://schemas.microsoft.com/office/drawing/2014/chart" uri="{C3380CC4-5D6E-409C-BE32-E72D297353CC}">
                <c16:uniqueId val="{00000004-2283-4309-B131-4040660F7446}"/>
              </c:ext>
            </c:extLst>
          </c:dPt>
          <c:dPt>
            <c:idx val="5"/>
            <c:bubble3D val="0"/>
            <c:extLst>
              <c:ext xmlns:c16="http://schemas.microsoft.com/office/drawing/2014/chart" uri="{C3380CC4-5D6E-409C-BE32-E72D297353CC}">
                <c16:uniqueId val="{00000005-2283-4309-B131-4040660F7446}"/>
              </c:ext>
            </c:extLst>
          </c:dPt>
          <c:dPt>
            <c:idx val="6"/>
            <c:bubble3D val="0"/>
            <c:extLst>
              <c:ext xmlns:c16="http://schemas.microsoft.com/office/drawing/2014/chart" uri="{C3380CC4-5D6E-409C-BE32-E72D297353CC}">
                <c16:uniqueId val="{00000006-2283-4309-B131-4040660F7446}"/>
              </c:ext>
            </c:extLst>
          </c:dPt>
          <c:dPt>
            <c:idx val="7"/>
            <c:bubble3D val="0"/>
            <c:spPr>
              <a:solidFill>
                <a:schemeClr val="accent2">
                  <a:lumMod val="75000"/>
                </a:schemeClr>
              </a:solidFill>
            </c:spPr>
            <c:extLst>
              <c:ext xmlns:c16="http://schemas.microsoft.com/office/drawing/2014/chart" uri="{C3380CC4-5D6E-409C-BE32-E72D297353CC}">
                <c16:uniqueId val="{00000007-2283-4309-B131-4040660F7446}"/>
              </c:ext>
            </c:extLst>
          </c:dPt>
          <c:dPt>
            <c:idx val="8"/>
            <c:bubble3D val="0"/>
            <c:extLst>
              <c:ext xmlns:c16="http://schemas.microsoft.com/office/drawing/2014/chart" uri="{C3380CC4-5D6E-409C-BE32-E72D297353CC}">
                <c16:uniqueId val="{00000008-2283-4309-B131-4040660F7446}"/>
              </c:ext>
            </c:extLst>
          </c:dPt>
          <c:dPt>
            <c:idx val="9"/>
            <c:bubble3D val="0"/>
            <c:extLst>
              <c:ext xmlns:c16="http://schemas.microsoft.com/office/drawing/2014/chart" uri="{C3380CC4-5D6E-409C-BE32-E72D297353CC}">
                <c16:uniqueId val="{00000009-2283-4309-B131-4040660F7446}"/>
              </c:ext>
            </c:extLst>
          </c:dPt>
          <c:dPt>
            <c:idx val="10"/>
            <c:bubble3D val="0"/>
            <c:extLst>
              <c:ext xmlns:c16="http://schemas.microsoft.com/office/drawing/2014/chart" uri="{C3380CC4-5D6E-409C-BE32-E72D297353CC}">
                <c16:uniqueId val="{0000000A-2283-4309-B131-4040660F7446}"/>
              </c:ext>
            </c:extLst>
          </c:dPt>
          <c:dPt>
            <c:idx val="11"/>
            <c:bubble3D val="0"/>
            <c:extLst>
              <c:ext xmlns:c16="http://schemas.microsoft.com/office/drawing/2014/chart" uri="{C3380CC4-5D6E-409C-BE32-E72D297353CC}">
                <c16:uniqueId val="{0000000B-2283-4309-B131-4040660F7446}"/>
              </c:ext>
            </c:extLst>
          </c:dPt>
          <c:dPt>
            <c:idx val="12"/>
            <c:bubble3D val="0"/>
            <c:extLst>
              <c:ext xmlns:c16="http://schemas.microsoft.com/office/drawing/2014/chart" uri="{C3380CC4-5D6E-409C-BE32-E72D297353CC}">
                <c16:uniqueId val="{0000000C-2283-4309-B131-4040660F7446}"/>
              </c:ext>
            </c:extLst>
          </c:dPt>
          <c:dPt>
            <c:idx val="13"/>
            <c:bubble3D val="0"/>
            <c:extLst>
              <c:ext xmlns:c16="http://schemas.microsoft.com/office/drawing/2014/chart" uri="{C3380CC4-5D6E-409C-BE32-E72D297353CC}">
                <c16:uniqueId val="{0000000D-2283-4309-B131-4040660F7446}"/>
              </c:ext>
            </c:extLst>
          </c:dPt>
          <c:dPt>
            <c:idx val="14"/>
            <c:bubble3D val="0"/>
            <c:extLst>
              <c:ext xmlns:c16="http://schemas.microsoft.com/office/drawing/2014/chart" uri="{C3380CC4-5D6E-409C-BE32-E72D297353CC}">
                <c16:uniqueId val="{0000000E-2283-4309-B131-4040660F7446}"/>
              </c:ext>
            </c:extLst>
          </c:dPt>
          <c:dPt>
            <c:idx val="15"/>
            <c:bubble3D val="0"/>
            <c:extLst>
              <c:ext xmlns:c16="http://schemas.microsoft.com/office/drawing/2014/chart" uri="{C3380CC4-5D6E-409C-BE32-E72D297353CC}">
                <c16:uniqueId val="{0000000F-2283-4309-B131-4040660F7446}"/>
              </c:ext>
            </c:extLst>
          </c:dPt>
          <c:dPt>
            <c:idx val="16"/>
            <c:bubble3D val="0"/>
            <c:extLst>
              <c:ext xmlns:c16="http://schemas.microsoft.com/office/drawing/2014/chart" uri="{C3380CC4-5D6E-409C-BE32-E72D297353CC}">
                <c16:uniqueId val="{00000010-2283-4309-B131-4040660F7446}"/>
              </c:ext>
            </c:extLst>
          </c:dPt>
          <c:dLbls>
            <c:dLbl>
              <c:idx val="0"/>
              <c:layout>
                <c:manualLayout>
                  <c:x val="-7.8316118279891836E-2"/>
                  <c:y val="-3.8882373745836116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83-4309-B131-4040660F7446}"/>
                </c:ext>
              </c:extLst>
            </c:dLbl>
            <c:dLbl>
              <c:idx val="1"/>
              <c:layout>
                <c:manualLayout>
                  <c:x val="-7.2830154785784853E-3"/>
                  <c:y val="1.4988551962919528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83-4309-B131-4040660F7446}"/>
                </c:ext>
              </c:extLst>
            </c:dLbl>
            <c:dLbl>
              <c:idx val="2"/>
              <c:layout>
                <c:manualLayout>
                  <c:x val="-2.2017105276289143E-2"/>
                  <c:y val="5.6742552570999546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83-4309-B131-4040660F7446}"/>
                </c:ext>
              </c:extLst>
            </c:dLbl>
            <c:dLbl>
              <c:idx val="3"/>
              <c:layout>
                <c:manualLayout>
                  <c:x val="-2.4294282606309191E-2"/>
                  <c:y val="-2.5028325360039214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83-4309-B131-4040660F7446}"/>
                </c:ext>
              </c:extLst>
            </c:dLbl>
            <c:dLbl>
              <c:idx val="4"/>
              <c:layout>
                <c:manualLayout>
                  <c:x val="4.5023003303294298E-2"/>
                  <c:y val="-2.2384045965885471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83-4309-B131-4040660F7446}"/>
                </c:ext>
              </c:extLst>
            </c:dLbl>
            <c:dLbl>
              <c:idx val="5"/>
              <c:layout>
                <c:manualLayout>
                  <c:x val="4.1483887707952853E-2"/>
                  <c:y val="-2.3963316642157317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83-4309-B131-4040660F7446}"/>
                </c:ext>
              </c:extLst>
            </c:dLbl>
            <c:dLbl>
              <c:idx val="6"/>
              <c:layout>
                <c:manualLayout>
                  <c:x val="3.8054349670169553E-2"/>
                  <c:y val="-1.8466025080198307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83-4309-B131-4040660F7446}"/>
                </c:ext>
              </c:extLst>
            </c:dLbl>
            <c:dLbl>
              <c:idx val="7"/>
              <c:layout>
                <c:manualLayout>
                  <c:x val="7.2761294572018798E-2"/>
                  <c:y val="-3.590352624361665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83-4309-B131-4040660F7446}"/>
                </c:ext>
              </c:extLst>
            </c:dLbl>
            <c:dLbl>
              <c:idx val="8"/>
              <c:layout>
                <c:manualLayout>
                  <c:x val="6.5839944911829068E-2"/>
                  <c:y val="-3.177453882094531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83-4309-B131-4040660F7446}"/>
                </c:ext>
              </c:extLst>
            </c:dLbl>
            <c:dLbl>
              <c:idx val="9"/>
              <c:layout>
                <c:manualLayout>
                  <c:x val="5.3225951318822788E-3"/>
                  <c:y val="-1.6774569845435988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83-4309-B131-4040660F7446}"/>
                </c:ext>
              </c:extLst>
            </c:dLbl>
            <c:dLbl>
              <c:idx val="10"/>
              <c:layout>
                <c:manualLayout>
                  <c:x val="6.6007005778270109E-2"/>
                  <c:y val="-3.4176578991455854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83-4309-B131-4040660F7446}"/>
                </c:ext>
              </c:extLst>
            </c:dLbl>
            <c:dLbl>
              <c:idx val="11"/>
              <c:layout>
                <c:manualLayout>
                  <c:x val="6.1226510184325816E-2"/>
                  <c:y val="4.7494772373311489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283-4309-B131-4040660F7446}"/>
                </c:ext>
              </c:extLst>
            </c:dLbl>
            <c:dLbl>
              <c:idx val="12"/>
              <c:layout>
                <c:manualLayout>
                  <c:x val="5.3231939163497916E-2"/>
                  <c:y val="2.0158969490515814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283-4309-B131-4040660F7446}"/>
                </c:ext>
              </c:extLst>
            </c:dLbl>
            <c:dLbl>
              <c:idx val="13"/>
              <c:layout>
                <c:manualLayout>
                  <c:x val="7.5970180533516868E-2"/>
                  <c:y val="5.3678325670284008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283-4309-B131-4040660F7446}"/>
                </c:ext>
              </c:extLst>
            </c:dLbl>
            <c:dLbl>
              <c:idx val="14"/>
              <c:layout>
                <c:manualLayout>
                  <c:x val="9.4698262527070046E-2"/>
                  <c:y val="8.064580579909780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283-4309-B131-4040660F7446}"/>
                </c:ext>
              </c:extLst>
            </c:dLbl>
            <c:dLbl>
              <c:idx val="16"/>
              <c:layout>
                <c:manualLayout>
                  <c:x val="-8.5791742762192744E-2"/>
                  <c:y val="0.11707203266258384"/>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283-4309-B131-4040660F7446}"/>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7"/>
              <c:pt idx="0">
                <c:v>Wheat - Northern Hard Red</c:v>
              </c:pt>
              <c:pt idx="1">
                <c:v>Flaxseed</c:v>
              </c:pt>
              <c:pt idx="2">
                <c:v>Fall Rye</c:v>
              </c:pt>
              <c:pt idx="3">
                <c:v>Peas</c:v>
              </c:pt>
              <c:pt idx="4">
                <c:v>Sunflower Confection</c:v>
              </c:pt>
              <c:pt idx="5">
                <c:v>Beans - Pinto</c:v>
              </c:pt>
              <c:pt idx="6">
                <c:v>Beans - White</c:v>
              </c:pt>
              <c:pt idx="7">
                <c:v>Sunflower Oil</c:v>
              </c:pt>
              <c:pt idx="8">
                <c:v>Wheat - Special Purpose</c:v>
              </c:pt>
              <c:pt idx="9">
                <c:v>Wheat - Prairie Spring</c:v>
              </c:pt>
              <c:pt idx="10">
                <c:v>Hempseed</c:v>
              </c:pt>
              <c:pt idx="11">
                <c:v>Black Bean</c:v>
              </c:pt>
              <c:pt idx="12">
                <c:v>Kidney Bean</c:v>
              </c:pt>
              <c:pt idx="13">
                <c:v>Buckwheat</c:v>
              </c:pt>
              <c:pt idx="14">
                <c:v>Canaryseed</c:v>
              </c:pt>
              <c:pt idx="15">
                <c:v>Fababean</c:v>
              </c:pt>
              <c:pt idx="16">
                <c:v>Lentil</c:v>
              </c:pt>
            </c:strLit>
          </c:cat>
          <c:val>
            <c:numLit>
              <c:formatCode>General</c:formatCode>
              <c:ptCount val="17"/>
              <c:pt idx="0">
                <c:v>212742.53999999998</c:v>
              </c:pt>
              <c:pt idx="1">
                <c:v>96900.4</c:v>
              </c:pt>
              <c:pt idx="2">
                <c:v>84078.2</c:v>
              </c:pt>
              <c:pt idx="3">
                <c:v>79196.600000000006</c:v>
              </c:pt>
              <c:pt idx="4">
                <c:v>48140.800000000003</c:v>
              </c:pt>
              <c:pt idx="5">
                <c:v>42326.8</c:v>
              </c:pt>
              <c:pt idx="6">
                <c:v>39257.599999999999</c:v>
              </c:pt>
              <c:pt idx="7">
                <c:v>36040.199999999997</c:v>
              </c:pt>
              <c:pt idx="8">
                <c:v>23638.060000000005</c:v>
              </c:pt>
              <c:pt idx="9">
                <c:v>18307</c:v>
              </c:pt>
              <c:pt idx="10">
                <c:v>15772.8</c:v>
              </c:pt>
              <c:pt idx="11">
                <c:v>15353.6</c:v>
              </c:pt>
              <c:pt idx="12">
                <c:v>12754.6</c:v>
              </c:pt>
              <c:pt idx="13">
                <c:v>7846.4</c:v>
              </c:pt>
              <c:pt idx="14">
                <c:v>7530</c:v>
              </c:pt>
              <c:pt idx="15">
                <c:v>5588.8</c:v>
              </c:pt>
              <c:pt idx="16">
                <c:v>2614.8000000000002</c:v>
              </c:pt>
            </c:numLit>
          </c:val>
          <c:extLst>
            <c:ext xmlns:c16="http://schemas.microsoft.com/office/drawing/2014/chart" uri="{C3380CC4-5D6E-409C-BE32-E72D297353CC}">
              <c16:uniqueId val="{00000011-2283-4309-B131-4040660F7446}"/>
            </c:ext>
          </c:extLst>
        </c:ser>
        <c:ser>
          <c:idx val="1"/>
          <c:order val="1"/>
          <c:tx>
            <c:v>2017 Acres</c:v>
          </c:tx>
          <c:dPt>
            <c:idx val="0"/>
            <c:bubble3D val="0"/>
            <c:extLst>
              <c:ext xmlns:c16="http://schemas.microsoft.com/office/drawing/2014/chart" uri="{C3380CC4-5D6E-409C-BE32-E72D297353CC}">
                <c16:uniqueId val="{00000012-2283-4309-B131-4040660F7446}"/>
              </c:ext>
            </c:extLst>
          </c:dPt>
          <c:dPt>
            <c:idx val="1"/>
            <c:bubble3D val="0"/>
            <c:extLst>
              <c:ext xmlns:c16="http://schemas.microsoft.com/office/drawing/2014/chart" uri="{C3380CC4-5D6E-409C-BE32-E72D297353CC}">
                <c16:uniqueId val="{00000013-2283-4309-B131-4040660F7446}"/>
              </c:ext>
            </c:extLst>
          </c:dPt>
          <c:dPt>
            <c:idx val="2"/>
            <c:bubble3D val="0"/>
            <c:extLst>
              <c:ext xmlns:c16="http://schemas.microsoft.com/office/drawing/2014/chart" uri="{C3380CC4-5D6E-409C-BE32-E72D297353CC}">
                <c16:uniqueId val="{00000014-2283-4309-B131-4040660F7446}"/>
              </c:ext>
            </c:extLst>
          </c:dPt>
          <c:dPt>
            <c:idx val="3"/>
            <c:bubble3D val="0"/>
            <c:extLst>
              <c:ext xmlns:c16="http://schemas.microsoft.com/office/drawing/2014/chart" uri="{C3380CC4-5D6E-409C-BE32-E72D297353CC}">
                <c16:uniqueId val="{00000015-2283-4309-B131-4040660F7446}"/>
              </c:ext>
            </c:extLst>
          </c:dPt>
          <c:dPt>
            <c:idx val="4"/>
            <c:bubble3D val="0"/>
            <c:extLst>
              <c:ext xmlns:c16="http://schemas.microsoft.com/office/drawing/2014/chart" uri="{C3380CC4-5D6E-409C-BE32-E72D297353CC}">
                <c16:uniqueId val="{00000016-2283-4309-B131-4040660F7446}"/>
              </c:ext>
            </c:extLst>
          </c:dPt>
          <c:dPt>
            <c:idx val="5"/>
            <c:bubble3D val="0"/>
            <c:extLst>
              <c:ext xmlns:c16="http://schemas.microsoft.com/office/drawing/2014/chart" uri="{C3380CC4-5D6E-409C-BE32-E72D297353CC}">
                <c16:uniqueId val="{00000017-2283-4309-B131-4040660F7446}"/>
              </c:ext>
            </c:extLst>
          </c:dPt>
          <c:dPt>
            <c:idx val="6"/>
            <c:bubble3D val="0"/>
            <c:extLst>
              <c:ext xmlns:c16="http://schemas.microsoft.com/office/drawing/2014/chart" uri="{C3380CC4-5D6E-409C-BE32-E72D297353CC}">
                <c16:uniqueId val="{00000018-2283-4309-B131-4040660F7446}"/>
              </c:ext>
            </c:extLst>
          </c:dPt>
          <c:dPt>
            <c:idx val="7"/>
            <c:bubble3D val="0"/>
            <c:extLst>
              <c:ext xmlns:c16="http://schemas.microsoft.com/office/drawing/2014/chart" uri="{C3380CC4-5D6E-409C-BE32-E72D297353CC}">
                <c16:uniqueId val="{00000019-2283-4309-B131-4040660F7446}"/>
              </c:ext>
            </c:extLst>
          </c:dPt>
          <c:dPt>
            <c:idx val="8"/>
            <c:bubble3D val="0"/>
            <c:extLst>
              <c:ext xmlns:c16="http://schemas.microsoft.com/office/drawing/2014/chart" uri="{C3380CC4-5D6E-409C-BE32-E72D297353CC}">
                <c16:uniqueId val="{0000001A-2283-4309-B131-4040660F7446}"/>
              </c:ext>
            </c:extLst>
          </c:dPt>
          <c:dPt>
            <c:idx val="9"/>
            <c:bubble3D val="0"/>
            <c:extLst>
              <c:ext xmlns:c16="http://schemas.microsoft.com/office/drawing/2014/chart" uri="{C3380CC4-5D6E-409C-BE32-E72D297353CC}">
                <c16:uniqueId val="{0000001B-2283-4309-B131-4040660F7446}"/>
              </c:ext>
            </c:extLst>
          </c:dPt>
          <c:dPt>
            <c:idx val="10"/>
            <c:bubble3D val="0"/>
            <c:extLst>
              <c:ext xmlns:c16="http://schemas.microsoft.com/office/drawing/2014/chart" uri="{C3380CC4-5D6E-409C-BE32-E72D297353CC}">
                <c16:uniqueId val="{0000001C-2283-4309-B131-4040660F7446}"/>
              </c:ext>
            </c:extLst>
          </c:dPt>
          <c:dPt>
            <c:idx val="11"/>
            <c:bubble3D val="0"/>
            <c:extLst>
              <c:ext xmlns:c16="http://schemas.microsoft.com/office/drawing/2014/chart" uri="{C3380CC4-5D6E-409C-BE32-E72D297353CC}">
                <c16:uniqueId val="{0000001D-2283-4309-B131-4040660F7446}"/>
              </c:ext>
            </c:extLst>
          </c:dPt>
          <c:dPt>
            <c:idx val="12"/>
            <c:bubble3D val="0"/>
            <c:extLst>
              <c:ext xmlns:c16="http://schemas.microsoft.com/office/drawing/2014/chart" uri="{C3380CC4-5D6E-409C-BE32-E72D297353CC}">
                <c16:uniqueId val="{0000001E-2283-4309-B131-4040660F7446}"/>
              </c:ext>
            </c:extLst>
          </c:dPt>
          <c:dPt>
            <c:idx val="13"/>
            <c:bubble3D val="0"/>
            <c:extLst>
              <c:ext xmlns:c16="http://schemas.microsoft.com/office/drawing/2014/chart" uri="{C3380CC4-5D6E-409C-BE32-E72D297353CC}">
                <c16:uniqueId val="{0000001F-2283-4309-B131-4040660F7446}"/>
              </c:ext>
            </c:extLst>
          </c:dPt>
          <c:dPt>
            <c:idx val="14"/>
            <c:bubble3D val="0"/>
            <c:extLst>
              <c:ext xmlns:c16="http://schemas.microsoft.com/office/drawing/2014/chart" uri="{C3380CC4-5D6E-409C-BE32-E72D297353CC}">
                <c16:uniqueId val="{00000020-2283-4309-B131-4040660F7446}"/>
              </c:ext>
            </c:extLst>
          </c:dPt>
          <c:dPt>
            <c:idx val="15"/>
            <c:bubble3D val="0"/>
            <c:extLst>
              <c:ext xmlns:c16="http://schemas.microsoft.com/office/drawing/2014/chart" uri="{C3380CC4-5D6E-409C-BE32-E72D297353CC}">
                <c16:uniqueId val="{00000021-2283-4309-B131-4040660F7446}"/>
              </c:ext>
            </c:extLst>
          </c:dPt>
          <c:dPt>
            <c:idx val="16"/>
            <c:bubble3D val="0"/>
            <c:extLst>
              <c:ext xmlns:c16="http://schemas.microsoft.com/office/drawing/2014/chart" uri="{C3380CC4-5D6E-409C-BE32-E72D297353CC}">
                <c16:uniqueId val="{00000022-2283-4309-B131-4040660F7446}"/>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17"/>
              <c:pt idx="0">
                <c:v>Wheat - Northern Hard Red</c:v>
              </c:pt>
              <c:pt idx="1">
                <c:v>Flaxseed</c:v>
              </c:pt>
              <c:pt idx="2">
                <c:v>Fall Rye</c:v>
              </c:pt>
              <c:pt idx="3">
                <c:v>Peas</c:v>
              </c:pt>
              <c:pt idx="4">
                <c:v>Sunflower Confection</c:v>
              </c:pt>
              <c:pt idx="5">
                <c:v>Beans - Pinto</c:v>
              </c:pt>
              <c:pt idx="6">
                <c:v>Beans - White</c:v>
              </c:pt>
              <c:pt idx="7">
                <c:v>Sunflower Oil</c:v>
              </c:pt>
              <c:pt idx="8">
                <c:v>Wheat - Special Purpose</c:v>
              </c:pt>
              <c:pt idx="9">
                <c:v>Wheat - Prairie Spring</c:v>
              </c:pt>
              <c:pt idx="10">
                <c:v>Hempseed</c:v>
              </c:pt>
              <c:pt idx="11">
                <c:v>Black Bean</c:v>
              </c:pt>
              <c:pt idx="12">
                <c:v>Kidney Bean</c:v>
              </c:pt>
              <c:pt idx="13">
                <c:v>Buckwheat</c:v>
              </c:pt>
              <c:pt idx="14">
                <c:v>Canaryseed</c:v>
              </c:pt>
              <c:pt idx="15">
                <c:v>Fababean</c:v>
              </c:pt>
              <c:pt idx="16">
                <c:v>Lentil</c:v>
              </c:pt>
            </c:strLit>
          </c:cat>
          <c:val>
            <c:numLit>
              <c:formatCode>General</c:formatCode>
              <c:ptCount val="17"/>
              <c:pt idx="0">
                <c:v>198229.5</c:v>
              </c:pt>
              <c:pt idx="1">
                <c:v>42333</c:v>
              </c:pt>
              <c:pt idx="2">
                <c:v>73308</c:v>
              </c:pt>
              <c:pt idx="3">
                <c:v>67047</c:v>
              </c:pt>
              <c:pt idx="4">
                <c:v>26325</c:v>
              </c:pt>
              <c:pt idx="5">
                <c:v>52048</c:v>
              </c:pt>
              <c:pt idx="6">
                <c:v>27231</c:v>
              </c:pt>
              <c:pt idx="7">
                <c:v>33480</c:v>
              </c:pt>
              <c:pt idx="8">
                <c:v>22025.5</c:v>
              </c:pt>
              <c:pt idx="9">
                <c:v>60505</c:v>
              </c:pt>
              <c:pt idx="10">
                <c:v>27296</c:v>
              </c:pt>
              <c:pt idx="11">
                <c:v>22409</c:v>
              </c:pt>
              <c:pt idx="12">
                <c:v>8136</c:v>
              </c:pt>
              <c:pt idx="13">
                <c:v>5645</c:v>
              </c:pt>
              <c:pt idx="14">
                <c:v>4283</c:v>
              </c:pt>
              <c:pt idx="15">
                <c:v>8379</c:v>
              </c:pt>
              <c:pt idx="16">
                <c:v>2681</c:v>
              </c:pt>
            </c:numLit>
          </c:val>
          <c:extLst>
            <c:ext xmlns:c16="http://schemas.microsoft.com/office/drawing/2014/chart" uri="{C3380CC4-5D6E-409C-BE32-E72D297353CC}">
              <c16:uniqueId val="{00000023-2283-4309-B131-4040660F7446}"/>
            </c:ext>
          </c:extLst>
        </c:ser>
        <c:dLbls>
          <c:showLegendKey val="0"/>
          <c:showVal val="0"/>
          <c:showCatName val="0"/>
          <c:showSerName val="0"/>
          <c:showPercent val="0"/>
          <c:showBubbleSize val="0"/>
          <c:showLeaderLines val="1"/>
        </c:dLbls>
        <c:firstSliceAng val="142"/>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80C0"/>
                </a:solidFill>
                <a:latin typeface="Calibri"/>
                <a:ea typeface="Calibri"/>
                <a:cs typeface="Calibri"/>
              </a:defRPr>
            </a:pPr>
            <a:r>
              <a:rPr lang="en-CA"/>
              <a:t>Average Herbicide Cost Per Acre</a:t>
            </a:r>
          </a:p>
        </c:rich>
      </c:tx>
      <c:layout>
        <c:manualLayout>
          <c:xMode val="edge"/>
          <c:yMode val="edge"/>
          <c:x val="0.18638090238720159"/>
          <c:y val="2.993196438680459E-2"/>
        </c:manualLayout>
      </c:layout>
      <c:overlay val="0"/>
      <c:spPr>
        <a:ln w="22225">
          <a:noFill/>
        </a:ln>
      </c:spPr>
    </c:title>
    <c:autoTitleDeleted val="0"/>
    <c:plotArea>
      <c:layout>
        <c:manualLayout>
          <c:layoutTarget val="inner"/>
          <c:xMode val="edge"/>
          <c:yMode val="edge"/>
          <c:x val="0.15289188851393576"/>
          <c:y val="0.12765892713244997"/>
          <c:w val="0.81294498187726538"/>
          <c:h val="0.67528032525346082"/>
        </c:manualLayout>
      </c:layout>
      <c:barChart>
        <c:barDir val="col"/>
        <c:grouping val="clustered"/>
        <c:varyColors val="0"/>
        <c:ser>
          <c:idx val="0"/>
          <c:order val="0"/>
          <c:tx>
            <c:v>Wheat</c:v>
          </c:tx>
          <c:spPr>
            <a:solidFill>
              <a:schemeClr val="bg1">
                <a:lumMod val="65000"/>
              </a:schemeClr>
            </a:solidFill>
          </c:spPr>
          <c:invertIfNegative val="0"/>
          <c:trendline>
            <c:name>Wheat Trend</c:name>
            <c:spPr>
              <a:ln w="19050">
                <a:solidFill>
                  <a:schemeClr val="tx1">
                    <a:lumMod val="95000"/>
                    <a:lumOff val="5000"/>
                  </a:schemeClr>
                </a:solidFill>
                <a:prstDash val="lgDash"/>
              </a:ln>
            </c:spPr>
            <c:trendlineType val="linear"/>
            <c:dispRSqr val="0"/>
            <c:dispEq val="0"/>
          </c:trendline>
          <c:cat>
            <c:numLit>
              <c:formatCode>General</c:formatCode>
              <c:ptCount val="5"/>
              <c:pt idx="0">
                <c:v>2013</c:v>
              </c:pt>
              <c:pt idx="1">
                <c:v>2014</c:v>
              </c:pt>
              <c:pt idx="2">
                <c:v>2015</c:v>
              </c:pt>
              <c:pt idx="3">
                <c:v>2016</c:v>
              </c:pt>
              <c:pt idx="4">
                <c:v>2017</c:v>
              </c:pt>
            </c:numLit>
          </c:cat>
          <c:val>
            <c:numLit>
              <c:formatCode>General</c:formatCode>
              <c:ptCount val="5"/>
              <c:pt idx="0">
                <c:v>26.45</c:v>
              </c:pt>
              <c:pt idx="1">
                <c:v>23.32</c:v>
              </c:pt>
              <c:pt idx="2">
                <c:v>25</c:v>
              </c:pt>
              <c:pt idx="3">
                <c:v>26.21</c:v>
              </c:pt>
              <c:pt idx="4">
                <c:v>26.71</c:v>
              </c:pt>
            </c:numLit>
          </c:val>
          <c:extLst>
            <c:ext xmlns:c16="http://schemas.microsoft.com/office/drawing/2014/chart" uri="{C3380CC4-5D6E-409C-BE32-E72D297353CC}">
              <c16:uniqueId val="{00000000-5483-467B-BFE1-6D026E56653B}"/>
            </c:ext>
          </c:extLst>
        </c:ser>
        <c:ser>
          <c:idx val="2"/>
          <c:order val="1"/>
          <c:tx>
            <c:v>Canola</c:v>
          </c:tx>
          <c:spPr>
            <a:solidFill>
              <a:schemeClr val="bg1">
                <a:lumMod val="50000"/>
              </a:schemeClr>
            </a:solidFill>
          </c:spPr>
          <c:invertIfNegative val="0"/>
          <c:trendline>
            <c:name>Canola Trend</c:name>
            <c:spPr>
              <a:ln w="19050">
                <a:solidFill>
                  <a:schemeClr val="tx1">
                    <a:lumMod val="85000"/>
                    <a:lumOff val="15000"/>
                  </a:schemeClr>
                </a:solidFill>
              </a:ln>
            </c:spPr>
            <c:trendlineType val="linear"/>
            <c:dispRSqr val="0"/>
            <c:dispEq val="0"/>
          </c:trendline>
          <c:cat>
            <c:numLit>
              <c:formatCode>General</c:formatCode>
              <c:ptCount val="5"/>
              <c:pt idx="0">
                <c:v>2013</c:v>
              </c:pt>
              <c:pt idx="1">
                <c:v>2014</c:v>
              </c:pt>
              <c:pt idx="2">
                <c:v>2015</c:v>
              </c:pt>
              <c:pt idx="3">
                <c:v>2016</c:v>
              </c:pt>
              <c:pt idx="4">
                <c:v>2017</c:v>
              </c:pt>
            </c:numLit>
          </c:cat>
          <c:val>
            <c:numLit>
              <c:formatCode>General</c:formatCode>
              <c:ptCount val="5"/>
              <c:pt idx="0">
                <c:v>11.25</c:v>
              </c:pt>
              <c:pt idx="1">
                <c:v>11.17</c:v>
              </c:pt>
              <c:pt idx="2">
                <c:v>5</c:v>
              </c:pt>
              <c:pt idx="3">
                <c:v>13.13</c:v>
              </c:pt>
              <c:pt idx="4">
                <c:v>13.81</c:v>
              </c:pt>
            </c:numLit>
          </c:val>
          <c:extLst>
            <c:ext xmlns:c16="http://schemas.microsoft.com/office/drawing/2014/chart" uri="{C3380CC4-5D6E-409C-BE32-E72D297353CC}">
              <c16:uniqueId val="{00000001-5483-467B-BFE1-6D026E56653B}"/>
            </c:ext>
          </c:extLst>
        </c:ser>
        <c:ser>
          <c:idx val="1"/>
          <c:order val="2"/>
          <c:tx>
            <c:v>Soybeans</c:v>
          </c:tx>
          <c:invertIfNegative val="0"/>
          <c:trendline>
            <c:name>Soybean Trend</c:name>
            <c:spPr>
              <a:ln w="22225">
                <a:prstDash val="sysDash"/>
              </a:ln>
            </c:spPr>
            <c:trendlineType val="linear"/>
            <c:dispRSqr val="0"/>
            <c:dispEq val="0"/>
          </c:trendline>
          <c:cat>
            <c:numLit>
              <c:formatCode>General</c:formatCode>
              <c:ptCount val="5"/>
              <c:pt idx="0">
                <c:v>2013</c:v>
              </c:pt>
              <c:pt idx="1">
                <c:v>2014</c:v>
              </c:pt>
              <c:pt idx="2">
                <c:v>2015</c:v>
              </c:pt>
              <c:pt idx="3">
                <c:v>2016</c:v>
              </c:pt>
              <c:pt idx="4">
                <c:v>2017</c:v>
              </c:pt>
            </c:numLit>
          </c:cat>
          <c:val>
            <c:numLit>
              <c:formatCode>General</c:formatCode>
              <c:ptCount val="5"/>
              <c:pt idx="0">
                <c:v>29</c:v>
              </c:pt>
              <c:pt idx="1">
                <c:v>9.01</c:v>
              </c:pt>
              <c:pt idx="2">
                <c:v>10.73</c:v>
              </c:pt>
              <c:pt idx="3">
                <c:v>14.67</c:v>
              </c:pt>
              <c:pt idx="4">
                <c:v>14.67</c:v>
              </c:pt>
            </c:numLit>
          </c:val>
          <c:extLst>
            <c:ext xmlns:c16="http://schemas.microsoft.com/office/drawing/2014/chart" uri="{C3380CC4-5D6E-409C-BE32-E72D297353CC}">
              <c16:uniqueId val="{00000002-5483-467B-BFE1-6D026E56653B}"/>
            </c:ext>
          </c:extLst>
        </c:ser>
        <c:dLbls>
          <c:showLegendKey val="0"/>
          <c:showVal val="0"/>
          <c:showCatName val="0"/>
          <c:showSerName val="0"/>
          <c:showPercent val="0"/>
          <c:showBubbleSize val="0"/>
        </c:dLbls>
        <c:gapWidth val="150"/>
        <c:axId val="463797448"/>
        <c:axId val="1"/>
      </c:barChart>
      <c:catAx>
        <c:axId val="4637974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Cost ($/Acre)</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3797448"/>
        <c:crosses val="autoZero"/>
        <c:crossBetween val="between"/>
      </c:valAx>
      <c:spPr>
        <a:solidFill>
          <a:schemeClr val="bg1">
            <a:lumMod val="85000"/>
          </a:schemeClr>
        </a:solidFill>
        <a:ln w="25400">
          <a:noFill/>
        </a:ln>
      </c:spPr>
    </c:plotArea>
    <c:legend>
      <c:legendPos val="r"/>
      <c:layout>
        <c:manualLayout>
          <c:xMode val="edge"/>
          <c:yMode val="edge"/>
          <c:x val="1.3307936507936508E-2"/>
          <c:y val="0.87301754927692854"/>
          <c:w val="0.70722499687539053"/>
          <c:h val="9.127003242241782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44" l="0.70000000000000062" r="0.70000000000000062" t="0.75000000000000244" header="0.30000000000000032" footer="0.30000000000000032"/>
    <c:pageSetup orientation="portrait"/>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(HIDE)'!$CA$27</c:f>
          <c:strCache>
            <c:ptCount val="1"/>
            <c:pt idx="0">
              <c:v>Manitoba Crop Revenue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8.3567767468629067E-2"/>
          <c:y val="0.10148931098140219"/>
          <c:w val="0.83242364059305562"/>
          <c:h val="0.79953072863973418"/>
        </c:manualLayout>
      </c:layout>
      <c:barChart>
        <c:barDir val="col"/>
        <c:grouping val="clustered"/>
        <c:varyColors val="0"/>
        <c:ser>
          <c:idx val="1"/>
          <c:order val="1"/>
          <c:tx>
            <c:strRef>
              <c:f>'For PPT (HIDE)'!$CD$28</c:f>
              <c:strCache>
                <c:ptCount val="1"/>
                <c:pt idx="0">
                  <c:v>Return on Investment (Reward)</c:v>
                </c:pt>
              </c:strCache>
            </c:strRef>
          </c:tx>
          <c:spPr>
            <a:solidFill>
              <a:schemeClr val="accent1"/>
            </a:solidFill>
          </c:spPr>
          <c:invertIfNegative val="0"/>
          <c:cat>
            <c:strRef>
              <c:f>'For PPT (HIDE)'!$CA$29:$CA$45</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(HIDE)'!$CD$29:$CD$36</c:f>
              <c:numCache>
                <c:formatCode>0.0%</c:formatCode>
                <c:ptCount val="8"/>
                <c:pt idx="0">
                  <c:v>9.8391571470958589E-2</c:v>
                </c:pt>
                <c:pt idx="1">
                  <c:v>2.8457725105659398E-2</c:v>
                </c:pt>
                <c:pt idx="2">
                  <c:v>0.14298301303379896</c:v>
                </c:pt>
                <c:pt idx="3">
                  <c:v>-0.19177163395382091</c:v>
                </c:pt>
                <c:pt idx="4">
                  <c:v>3.0338273437815092E-2</c:v>
                </c:pt>
                <c:pt idx="5">
                  <c:v>7.4547232018816773E-2</c:v>
                </c:pt>
                <c:pt idx="6">
                  <c:v>7.834172107923576E-2</c:v>
                </c:pt>
                <c:pt idx="7">
                  <c:v>-8.4592294781920596E-2</c:v>
                </c:pt>
              </c:numCache>
            </c:numRef>
          </c:val>
          <c:extLst>
            <c:ext xmlns:c16="http://schemas.microsoft.com/office/drawing/2014/chart" uri="{C3380CC4-5D6E-409C-BE32-E72D297353CC}">
              <c16:uniqueId val="{00000000-A339-496F-A7B3-CD36C48A3768}"/>
            </c:ext>
          </c:extLst>
        </c:ser>
        <c:dLbls>
          <c:showLegendKey val="0"/>
          <c:showVal val="0"/>
          <c:showCatName val="0"/>
          <c:showSerName val="0"/>
          <c:showPercent val="0"/>
          <c:showBubbleSize val="0"/>
        </c:dLbls>
        <c:gapWidth val="150"/>
        <c:axId val="464490672"/>
        <c:axId val="1"/>
      </c:barChart>
      <c:lineChart>
        <c:grouping val="standard"/>
        <c:varyColors val="0"/>
        <c:ser>
          <c:idx val="0"/>
          <c:order val="0"/>
          <c:tx>
            <c:strRef>
              <c:f>'For PPT (HIDE)'!$CC$28</c:f>
              <c:strCache>
                <c:ptCount val="1"/>
                <c:pt idx="0">
                  <c:v>Return on Asset (ROA)</c:v>
                </c:pt>
              </c:strCache>
            </c:strRef>
          </c:tx>
          <c:spPr>
            <a:ln>
              <a:solidFill>
                <a:schemeClr val="tx1"/>
              </a:solidFill>
              <a:prstDash val="sysDash"/>
            </a:ln>
          </c:spPr>
          <c:marker>
            <c:spPr>
              <a:noFill/>
            </c:spPr>
          </c:marker>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(HIDE)'!$CC$29:$CC$36</c:f>
              <c:numCache>
                <c:formatCode>0.00%</c:formatCode>
                <c:ptCount val="8"/>
                <c:pt idx="0">
                  <c:v>3.6248574651538322E-2</c:v>
                </c:pt>
                <c:pt idx="1">
                  <c:v>2.8460783229175491E-2</c:v>
                </c:pt>
                <c:pt idx="2">
                  <c:v>3.9676194067425237E-2</c:v>
                </c:pt>
                <c:pt idx="3">
                  <c:v>7.5554448274231089E-3</c:v>
                </c:pt>
                <c:pt idx="4">
                  <c:v>3.0314054596918875E-2</c:v>
                </c:pt>
                <c:pt idx="5">
                  <c:v>4.0536895326084163E-2</c:v>
                </c:pt>
                <c:pt idx="6">
                  <c:v>3.4355567596030624E-2</c:v>
                </c:pt>
                <c:pt idx="7">
                  <c:v>1.7593753421860259E-2</c:v>
                </c:pt>
              </c:numCache>
            </c:numRef>
          </c:val>
          <c:smooth val="0"/>
          <c:extLst>
            <c:ext xmlns:c16="http://schemas.microsoft.com/office/drawing/2014/chart" uri="{C3380CC4-5D6E-409C-BE32-E72D297353CC}">
              <c16:uniqueId val="{00000001-A339-496F-A7B3-CD36C48A3768}"/>
            </c:ext>
          </c:extLst>
        </c:ser>
        <c:dLbls>
          <c:showLegendKey val="0"/>
          <c:showVal val="0"/>
          <c:showCatName val="0"/>
          <c:showSerName val="0"/>
          <c:showPercent val="0"/>
          <c:showBubbleSize val="0"/>
        </c:dLbls>
        <c:marker val="1"/>
        <c:smooth val="0"/>
        <c:axId val="3"/>
        <c:axId val="4"/>
      </c:lineChart>
      <c:catAx>
        <c:axId val="464490672"/>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4906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plotArea>
    <c:legend>
      <c:legendPos val="r"/>
      <c:layout>
        <c:manualLayout>
          <c:xMode val="edge"/>
          <c:yMode val="edge"/>
          <c:x val="2.9914641758605389E-2"/>
          <c:y val="0.93739132779635426"/>
          <c:w val="0.86182463581737101"/>
          <c:h val="4.5217344407291526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(HIDE)'!$CA$27</c:f>
          <c:strCache>
            <c:ptCount val="1"/>
            <c:pt idx="0">
              <c:v>Manitoba Crop Revenue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7.3637643406649314E-2"/>
          <c:y val="0.10151411201523754"/>
          <c:w val="0.83770237964451788"/>
          <c:h val="0.70370845851880359"/>
        </c:manualLayout>
      </c:layout>
      <c:barChart>
        <c:barDir val="col"/>
        <c:grouping val="clustered"/>
        <c:varyColors val="0"/>
        <c:ser>
          <c:idx val="0"/>
          <c:order val="0"/>
          <c:tx>
            <c:strRef>
              <c:f>'For PPT (HIDE)'!$CB$28</c:f>
              <c:strCache>
                <c:ptCount val="1"/>
                <c:pt idx="0">
                  <c:v>$ Revenue Per $ Cost</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(HIDE)'!$CB$29:$CB$35</c:f>
              <c:numCache>
                <c:formatCode>"$"#,##0.00;\("$"#,##0.00\)</c:formatCode>
                <c:ptCount val="7"/>
                <c:pt idx="0">
                  <c:v>1.0983915714709587</c:v>
                </c:pt>
                <c:pt idx="1">
                  <c:v>1.0284577251056595</c:v>
                </c:pt>
                <c:pt idx="2">
                  <c:v>1.142983013033799</c:v>
                </c:pt>
                <c:pt idx="3">
                  <c:v>0.80822836604617909</c:v>
                </c:pt>
                <c:pt idx="4">
                  <c:v>1.030338273437815</c:v>
                </c:pt>
                <c:pt idx="5">
                  <c:v>1.0745472320188167</c:v>
                </c:pt>
                <c:pt idx="6">
                  <c:v>1.0783417210792356</c:v>
                </c:pt>
              </c:numCache>
            </c:numRef>
          </c:val>
          <c:extLst>
            <c:ext xmlns:c16="http://schemas.microsoft.com/office/drawing/2014/chart" uri="{C3380CC4-5D6E-409C-BE32-E72D297353CC}">
              <c16:uniqueId val="{00000000-DB11-4AE8-B7A3-0ACCDFBE25D0}"/>
            </c:ext>
          </c:extLst>
        </c:ser>
        <c:dLbls>
          <c:showLegendKey val="0"/>
          <c:showVal val="0"/>
          <c:showCatName val="0"/>
          <c:showSerName val="0"/>
          <c:showPercent val="0"/>
          <c:showBubbleSize val="0"/>
        </c:dLbls>
        <c:gapWidth val="75"/>
        <c:axId val="464482144"/>
        <c:axId val="1"/>
      </c:barChart>
      <c:lineChart>
        <c:grouping val="standard"/>
        <c:varyColors val="0"/>
        <c:ser>
          <c:idx val="2"/>
          <c:order val="1"/>
          <c:tx>
            <c:strRef>
              <c:f>'For PPT (HIDE)'!$CC$28</c:f>
              <c:strCache>
                <c:ptCount val="1"/>
                <c:pt idx="0">
                  <c:v>Return on Asset (ROA)</c:v>
                </c:pt>
              </c:strCache>
            </c:strRef>
          </c:tx>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(HIDE)'!$CC$29:$CC$35</c:f>
              <c:numCache>
                <c:formatCode>0.00%</c:formatCode>
                <c:ptCount val="7"/>
                <c:pt idx="0">
                  <c:v>3.6248574651538322E-2</c:v>
                </c:pt>
                <c:pt idx="1">
                  <c:v>2.8460783229175491E-2</c:v>
                </c:pt>
                <c:pt idx="2">
                  <c:v>3.9676194067425237E-2</c:v>
                </c:pt>
                <c:pt idx="3">
                  <c:v>7.5554448274231089E-3</c:v>
                </c:pt>
                <c:pt idx="4">
                  <c:v>3.0314054596918875E-2</c:v>
                </c:pt>
                <c:pt idx="5">
                  <c:v>4.0536895326084163E-2</c:v>
                </c:pt>
                <c:pt idx="6">
                  <c:v>3.4355567596030624E-2</c:v>
                </c:pt>
              </c:numCache>
            </c:numRef>
          </c:val>
          <c:smooth val="0"/>
          <c:extLst>
            <c:ext xmlns:c16="http://schemas.microsoft.com/office/drawing/2014/chart" uri="{C3380CC4-5D6E-409C-BE32-E72D297353CC}">
              <c16:uniqueId val="{00000001-DB11-4AE8-B7A3-0ACCDFBE25D0}"/>
            </c:ext>
          </c:extLst>
        </c:ser>
        <c:dLbls>
          <c:showLegendKey val="0"/>
          <c:showVal val="0"/>
          <c:showCatName val="0"/>
          <c:showSerName val="0"/>
          <c:showPercent val="0"/>
          <c:showBubbleSize val="0"/>
        </c:dLbls>
        <c:marker val="1"/>
        <c:smooth val="0"/>
        <c:axId val="3"/>
        <c:axId val="4"/>
      </c:lineChart>
      <c:catAx>
        <c:axId val="46448214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quot;$&quot;#,##0.00;\(&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482144"/>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plotArea>
    <c:legend>
      <c:legendPos val="r"/>
      <c:layout>
        <c:manualLayout>
          <c:xMode val="edge"/>
          <c:yMode val="edge"/>
          <c:x val="7.2546232150165771E-2"/>
          <c:y val="0.93891956998525872"/>
          <c:w val="0.89473751403392177"/>
          <c:h val="3.8394455830007557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(HIDE)'!$CA$26</c:f>
          <c:strCache>
            <c:ptCount val="1"/>
            <c:pt idx="0">
              <c:v>Manitoba Risk &amp; Reward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9.3296752040081629E-2"/>
          <c:y val="0.10166313657801795"/>
          <c:w val="0.84347554807949721"/>
          <c:h val="0.67457000139717072"/>
        </c:manualLayout>
      </c:layout>
      <c:barChart>
        <c:barDir val="col"/>
        <c:grouping val="clustered"/>
        <c:varyColors val="0"/>
        <c:ser>
          <c:idx val="0"/>
          <c:order val="0"/>
          <c:tx>
            <c:strRef>
              <c:f>'For PPT (HIDE)'!$CD$28</c:f>
              <c:strCache>
                <c:ptCount val="1"/>
                <c:pt idx="0">
                  <c:v>Return on Investment (Reward)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(HIDE)'!$CD$29:$CD$36</c:f>
              <c:numCache>
                <c:formatCode>0.0%</c:formatCode>
                <c:ptCount val="8"/>
                <c:pt idx="0">
                  <c:v>9.8391571470958589E-2</c:v>
                </c:pt>
                <c:pt idx="1">
                  <c:v>2.8457725105659398E-2</c:v>
                </c:pt>
                <c:pt idx="2">
                  <c:v>0.14298301303379896</c:v>
                </c:pt>
                <c:pt idx="3">
                  <c:v>-0.19177163395382091</c:v>
                </c:pt>
                <c:pt idx="4">
                  <c:v>3.0338273437815092E-2</c:v>
                </c:pt>
                <c:pt idx="5">
                  <c:v>7.4547232018816773E-2</c:v>
                </c:pt>
                <c:pt idx="6">
                  <c:v>7.834172107923576E-2</c:v>
                </c:pt>
                <c:pt idx="7">
                  <c:v>-8.4592294781920596E-2</c:v>
                </c:pt>
              </c:numCache>
            </c:numRef>
          </c:val>
          <c:extLst>
            <c:ext xmlns:c16="http://schemas.microsoft.com/office/drawing/2014/chart" uri="{C3380CC4-5D6E-409C-BE32-E72D297353CC}">
              <c16:uniqueId val="{00000000-8CD2-4817-A3EF-F462F843D46C}"/>
            </c:ext>
          </c:extLst>
        </c:ser>
        <c:dLbls>
          <c:showLegendKey val="0"/>
          <c:showVal val="0"/>
          <c:showCatName val="0"/>
          <c:showSerName val="0"/>
          <c:showPercent val="0"/>
          <c:showBubbleSize val="0"/>
        </c:dLbls>
        <c:gapWidth val="75"/>
        <c:axId val="464491656"/>
        <c:axId val="1"/>
      </c:barChart>
      <c:lineChart>
        <c:grouping val="standard"/>
        <c:varyColors val="0"/>
        <c:ser>
          <c:idx val="2"/>
          <c:order val="1"/>
          <c:tx>
            <c:strRef>
              <c:f>'For PPT (HIDE)'!$BC$26</c:f>
              <c:strCache>
                <c:ptCount val="1"/>
                <c:pt idx="0">
                  <c:v>Coverage of Total Costs (Risk)</c:v>
                </c:pt>
              </c:strCache>
            </c:strRef>
          </c:tx>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(HIDE)'!$BC$29:$BC$36</c:f>
              <c:numCache>
                <c:formatCode>0%</c:formatCode>
                <c:ptCount val="8"/>
                <c:pt idx="0">
                  <c:v>0.80652696309969563</c:v>
                </c:pt>
                <c:pt idx="1">
                  <c:v>0.7479659788445403</c:v>
                </c:pt>
                <c:pt idx="2">
                  <c:v>0.76920144244573452</c:v>
                </c:pt>
                <c:pt idx="3">
                  <c:v>0.63022314994861917</c:v>
                </c:pt>
                <c:pt idx="4">
                  <c:v>0.79285775604886888</c:v>
                </c:pt>
                <c:pt idx="5">
                  <c:v>0.65910440941327797</c:v>
                </c:pt>
                <c:pt idx="6">
                  <c:v>0.7303449897204799</c:v>
                </c:pt>
                <c:pt idx="7">
                  <c:v>0.70073551328566375</c:v>
                </c:pt>
              </c:numCache>
            </c:numRef>
          </c:val>
          <c:smooth val="0"/>
          <c:extLst>
            <c:ext xmlns:c16="http://schemas.microsoft.com/office/drawing/2014/chart" uri="{C3380CC4-5D6E-409C-BE32-E72D297353CC}">
              <c16:uniqueId val="{00000001-8CD2-4817-A3EF-F462F843D46C}"/>
            </c:ext>
          </c:extLst>
        </c:ser>
        <c:dLbls>
          <c:showLegendKey val="0"/>
          <c:showVal val="0"/>
          <c:showCatName val="0"/>
          <c:showSerName val="0"/>
          <c:showPercent val="0"/>
          <c:showBubbleSize val="0"/>
        </c:dLbls>
        <c:marker val="1"/>
        <c:smooth val="0"/>
        <c:axId val="3"/>
        <c:axId val="4"/>
      </c:lineChart>
      <c:catAx>
        <c:axId val="464491656"/>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491656"/>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7.0200521921847281E-2"/>
          <c:y val="0.88041671160967894"/>
          <c:w val="0.89828082106666352"/>
          <c:h val="7.2790421745227096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'Chart data (HIDE)'!$A$4</c:f>
          <c:strCache>
            <c:ptCount val="1"/>
            <c:pt idx="0">
              <c:v>Manitoba Risk &amp; Reward Analysis - 2022</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58764472440944882"/>
        </c:manualLayout>
      </c:layout>
      <c:barChart>
        <c:barDir val="col"/>
        <c:grouping val="clustered"/>
        <c:varyColors val="0"/>
        <c:ser>
          <c:idx val="0"/>
          <c:order val="0"/>
          <c:tx>
            <c:strRef>
              <c:f>'Chart data (HIDE)'!$G$6</c:f>
              <c:strCache>
                <c:ptCount val="1"/>
                <c:pt idx="0">
                  <c:v>Return on Investment (Reward)</c:v>
                </c:pt>
              </c:strCache>
            </c:strRef>
          </c:tx>
          <c:spPr>
            <a:solidFill>
              <a:schemeClr val="accent1"/>
            </a:solidFill>
            <a:ln>
              <a:solidFill>
                <a:schemeClr val="tx1"/>
              </a:solidFill>
            </a:ln>
          </c:spPr>
          <c:invertIfNegative val="0"/>
          <c:dLbls>
            <c:dLbl>
              <c:idx val="3"/>
              <c:layout>
                <c:manualLayout>
                  <c:x val="2.937576499388005E-2"/>
                  <c:y val="5.0053753280839892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47-424C-ADD8-DE9E2988324D}"/>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(HIDE)'!$A$27:$A$30</c:f>
              <c:strCache>
                <c:ptCount val="4"/>
                <c:pt idx="0">
                  <c:v>Irrigated Potato - 325 Gross Yield per acre (cwt)</c:v>
                </c:pt>
                <c:pt idx="1">
                  <c:v>Irrigated Potato - 375 Gross Yield per acre (cwt)</c:v>
                </c:pt>
                <c:pt idx="2">
                  <c:v>Irrigated Potato - 425 Gross Yield per acre (cwt)</c:v>
                </c:pt>
                <c:pt idx="3">
                  <c:v>Irrigated Potato - 475 Gross Yield per acre (cwt)</c:v>
                </c:pt>
              </c:strCache>
            </c:strRef>
          </c:cat>
          <c:val>
            <c:numRef>
              <c:f>'Chart data (HIDE)'!$G$27:$G$30</c:f>
              <c:numCache>
                <c:formatCode>0.0%</c:formatCode>
                <c:ptCount val="4"/>
                <c:pt idx="0">
                  <c:v>-0.22976059867566495</c:v>
                </c:pt>
                <c:pt idx="1">
                  <c:v>-0.1097595325273084</c:v>
                </c:pt>
                <c:pt idx="2">
                  <c:v>7.4508111524817164E-3</c:v>
                </c:pt>
                <c:pt idx="3">
                  <c:v>0.12745187730083826</c:v>
                </c:pt>
              </c:numCache>
            </c:numRef>
          </c:val>
          <c:extLst>
            <c:ext xmlns:c16="http://schemas.microsoft.com/office/drawing/2014/chart" uri="{C3380CC4-5D6E-409C-BE32-E72D297353CC}">
              <c16:uniqueId val="{00000001-B947-424C-ADD8-DE9E2988324D}"/>
            </c:ext>
          </c:extLst>
        </c:ser>
        <c:dLbls>
          <c:showLegendKey val="0"/>
          <c:showVal val="0"/>
          <c:showCatName val="0"/>
          <c:showSerName val="0"/>
          <c:showPercent val="0"/>
          <c:showBubbleSize val="0"/>
        </c:dLbls>
        <c:gapWidth val="75"/>
        <c:axId val="225347224"/>
        <c:axId val="1"/>
      </c:barChart>
      <c:lineChart>
        <c:grouping val="standard"/>
        <c:varyColors val="0"/>
        <c:ser>
          <c:idx val="2"/>
          <c:order val="1"/>
          <c:tx>
            <c:strRef>
              <c:f>'Chart data (HIDE)'!$E$6</c:f>
              <c:strCache>
                <c:ptCount val="1"/>
                <c:pt idx="0">
                  <c:v>80% Coverage of Total Costs (Risk)</c:v>
                </c:pt>
              </c:strCache>
            </c:strRef>
          </c:tx>
          <c:spPr>
            <a:ln w="31750">
              <a:solidFill>
                <a:schemeClr val="tx1"/>
              </a:solidFill>
              <a:prstDash val="sysDash"/>
            </a:ln>
          </c:spPr>
          <c:dLbls>
            <c:dLbl>
              <c:idx val="0"/>
              <c:layout>
                <c:manualLayout>
                  <c:x val="6.6674762349932692E-2"/>
                  <c:y val="-1.894005249343832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47-424C-ADD8-DE9E2988324D}"/>
                </c:ext>
              </c:extLst>
            </c:dLbl>
            <c:dLbl>
              <c:idx val="1"/>
              <c:delete val="1"/>
              <c:extLst>
                <c:ext xmlns:c15="http://schemas.microsoft.com/office/drawing/2012/chart" uri="{CE6537A1-D6FC-4f65-9D91-7224C49458BB}"/>
                <c:ext xmlns:c16="http://schemas.microsoft.com/office/drawing/2014/chart" uri="{C3380CC4-5D6E-409C-BE32-E72D297353CC}">
                  <c16:uniqueId val="{00000003-B947-424C-ADD8-DE9E2988324D}"/>
                </c:ext>
              </c:extLst>
            </c:dLbl>
            <c:dLbl>
              <c:idx val="2"/>
              <c:delete val="1"/>
              <c:extLst>
                <c:ext xmlns:c15="http://schemas.microsoft.com/office/drawing/2012/chart" uri="{CE6537A1-D6FC-4f65-9D91-7224C49458BB}"/>
                <c:ext xmlns:c16="http://schemas.microsoft.com/office/drawing/2014/chart" uri="{C3380CC4-5D6E-409C-BE32-E72D297353CC}">
                  <c16:uniqueId val="{00000004-B947-424C-ADD8-DE9E2988324D}"/>
                </c:ext>
              </c:extLst>
            </c:dLbl>
            <c:dLbl>
              <c:idx val="3"/>
              <c:delete val="1"/>
              <c:extLst>
                <c:ext xmlns:c15="http://schemas.microsoft.com/office/drawing/2012/chart" uri="{CE6537A1-D6FC-4f65-9D91-7224C49458BB}"/>
                <c:ext xmlns:c16="http://schemas.microsoft.com/office/drawing/2014/chart" uri="{C3380CC4-5D6E-409C-BE32-E72D297353CC}">
                  <c16:uniqueId val="{00000005-B947-424C-ADD8-DE9E2988324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data (HIDE)'!$E$27:$E$30</c:f>
              <c:numCache>
                <c:formatCode>0%</c:formatCode>
                <c:ptCount val="4"/>
                <c:pt idx="0">
                  <c:v>0.53553862690972776</c:v>
                </c:pt>
                <c:pt idx="1">
                  <c:v>0.53553862690972776</c:v>
                </c:pt>
                <c:pt idx="2">
                  <c:v>0.53553862690972776</c:v>
                </c:pt>
                <c:pt idx="3">
                  <c:v>0.53553862690972776</c:v>
                </c:pt>
              </c:numCache>
            </c:numRef>
          </c:val>
          <c:smooth val="0"/>
          <c:extLst>
            <c:ext xmlns:c16="http://schemas.microsoft.com/office/drawing/2014/chart" uri="{C3380CC4-5D6E-409C-BE32-E72D297353CC}">
              <c16:uniqueId val="{00000006-B947-424C-ADD8-DE9E2988324D}"/>
            </c:ext>
          </c:extLst>
        </c:ser>
        <c:dLbls>
          <c:showLegendKey val="0"/>
          <c:showVal val="0"/>
          <c:showCatName val="0"/>
          <c:showSerName val="0"/>
          <c:showPercent val="0"/>
          <c:showBubbleSize val="0"/>
        </c:dLbls>
        <c:marker val="1"/>
        <c:smooth val="0"/>
        <c:axId val="3"/>
        <c:axId val="4"/>
      </c:lineChart>
      <c:catAx>
        <c:axId val="225347224"/>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5347224"/>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95000"/>
          </a:schemeClr>
        </a:solidFill>
      </c:spPr>
    </c:plotArea>
    <c:legend>
      <c:legendPos val="r"/>
      <c:layout>
        <c:manualLayout>
          <c:xMode val="edge"/>
          <c:yMode val="edge"/>
          <c:x val="6.7319461444308448E-2"/>
          <c:y val="0.88400000000000001"/>
          <c:w val="0.89473735611689909"/>
          <c:h val="7.1999999999999953E-2"/>
        </c:manualLayout>
      </c:layout>
      <c:overlay val="0"/>
      <c:txPr>
        <a:bodyPr/>
        <a:lstStyle/>
        <a:p>
          <a:pPr>
            <a:defRPr sz="129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(HIDE)'!$CA$27</c:f>
          <c:strCache>
            <c:ptCount val="1"/>
            <c:pt idx="0">
              <c:v>Manitoba Crop Revenue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8.3653418083288078E-2"/>
          <c:y val="7.1852442501603025E-2"/>
          <c:w val="0.85637820495919814"/>
          <c:h val="0.74937602813545856"/>
        </c:manualLayout>
      </c:layout>
      <c:barChart>
        <c:barDir val="col"/>
        <c:grouping val="clustered"/>
        <c:varyColors val="0"/>
        <c:ser>
          <c:idx val="1"/>
          <c:order val="0"/>
          <c:tx>
            <c:strRef>
              <c:f>'For PPT (HIDE)'!$CD$28</c:f>
              <c:strCache>
                <c:ptCount val="1"/>
                <c:pt idx="0">
                  <c:v>Return on Investment (Reward)</c:v>
                </c:pt>
              </c:strCache>
            </c:strRef>
          </c:tx>
          <c:spPr>
            <a:solidFill>
              <a:schemeClr val="accent1"/>
            </a:solidFill>
          </c:spPr>
          <c:invertIfNegative val="0"/>
          <c:cat>
            <c:strRef>
              <c:f>'For PPT (HIDE)'!$CA$29:$CA$45</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(HIDE)'!$CD$29:$CD$36</c:f>
              <c:numCache>
                <c:formatCode>0.0%</c:formatCode>
                <c:ptCount val="8"/>
                <c:pt idx="0">
                  <c:v>9.8391571470958589E-2</c:v>
                </c:pt>
                <c:pt idx="1">
                  <c:v>2.8457725105659398E-2</c:v>
                </c:pt>
                <c:pt idx="2">
                  <c:v>0.14298301303379896</c:v>
                </c:pt>
                <c:pt idx="3">
                  <c:v>-0.19177163395382091</c:v>
                </c:pt>
                <c:pt idx="4">
                  <c:v>3.0338273437815092E-2</c:v>
                </c:pt>
                <c:pt idx="5">
                  <c:v>7.4547232018816773E-2</c:v>
                </c:pt>
                <c:pt idx="6">
                  <c:v>7.834172107923576E-2</c:v>
                </c:pt>
                <c:pt idx="7">
                  <c:v>-8.4592294781920596E-2</c:v>
                </c:pt>
              </c:numCache>
            </c:numRef>
          </c:val>
          <c:extLst>
            <c:ext xmlns:c16="http://schemas.microsoft.com/office/drawing/2014/chart" uri="{C3380CC4-5D6E-409C-BE32-E72D297353CC}">
              <c16:uniqueId val="{00000000-3204-458F-90E9-6DE01A2590A5}"/>
            </c:ext>
          </c:extLst>
        </c:ser>
        <c:dLbls>
          <c:showLegendKey val="0"/>
          <c:showVal val="0"/>
          <c:showCatName val="0"/>
          <c:showSerName val="0"/>
          <c:showPercent val="0"/>
          <c:showBubbleSize val="0"/>
        </c:dLbls>
        <c:gapWidth val="150"/>
        <c:axId val="464484440"/>
        <c:axId val="1"/>
      </c:barChart>
      <c:catAx>
        <c:axId val="464484440"/>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484440"/>
        <c:crosses val="autoZero"/>
        <c:crossBetween val="between"/>
      </c:valAx>
      <c:spPr>
        <a:solidFill>
          <a:schemeClr val="bg1">
            <a:lumMod val="85000"/>
          </a:schemeClr>
        </a:solidFill>
      </c:spPr>
    </c:plotArea>
    <c:legend>
      <c:legendPos val="r"/>
      <c:layout>
        <c:manualLayout>
          <c:xMode val="edge"/>
          <c:yMode val="edge"/>
          <c:x val="2.9914632263506519E-2"/>
          <c:y val="0.93739132779635426"/>
          <c:w val="0.85897551184868037"/>
          <c:h val="4.5217344407291526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(HIDE)'!$AX$27</c:f>
          <c:strCache>
            <c:ptCount val="1"/>
            <c:pt idx="0">
              <c:v>Manitoba - 80% Insured Value AgriInsurance Risk Analysis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096876270747845"/>
          <c:y val="0.15741869752405893"/>
          <c:w val="0.76356482200288345"/>
          <c:h val="0.65893625503237674"/>
        </c:manualLayout>
      </c:layout>
      <c:barChart>
        <c:barDir val="col"/>
        <c:grouping val="clustered"/>
        <c:varyColors val="0"/>
        <c:ser>
          <c:idx val="0"/>
          <c:order val="0"/>
          <c:tx>
            <c:strRef>
              <c:f>'For PPT (HIDE)'!$AV$28</c:f>
              <c:strCache>
                <c:ptCount val="1"/>
                <c:pt idx="0">
                  <c:v>Margin Over Total Costs (Net Profit)</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(HIDE)'!$AV$29:$AV$34</c:f>
              <c:numCache>
                <c:formatCode>"$"#,##0.00;\("$"#,##0.00\)</c:formatCode>
                <c:ptCount val="6"/>
                <c:pt idx="0">
                  <c:v>40.31003907161903</c:v>
                </c:pt>
                <c:pt idx="1">
                  <c:v>10.424782343343963</c:v>
                </c:pt>
                <c:pt idx="2">
                  <c:v>52.540470671386743</c:v>
                </c:pt>
                <c:pt idx="3">
                  <c:v>-66.685877391788893</c:v>
                </c:pt>
                <c:pt idx="4">
                  <c:v>10.048093987725906</c:v>
                </c:pt>
                <c:pt idx="5">
                  <c:v>39.127771777533553</c:v>
                </c:pt>
              </c:numCache>
            </c:numRef>
          </c:val>
          <c:extLst>
            <c:ext xmlns:c16="http://schemas.microsoft.com/office/drawing/2014/chart" uri="{C3380CC4-5D6E-409C-BE32-E72D297353CC}">
              <c16:uniqueId val="{00000000-3EAF-4E6F-A2F0-2EF579C400AA}"/>
            </c:ext>
          </c:extLst>
        </c:ser>
        <c:dLbls>
          <c:showLegendKey val="0"/>
          <c:showVal val="0"/>
          <c:showCatName val="0"/>
          <c:showSerName val="0"/>
          <c:showPercent val="0"/>
          <c:showBubbleSize val="0"/>
        </c:dLbls>
        <c:gapWidth val="75"/>
        <c:axId val="464495920"/>
        <c:axId val="1"/>
      </c:barChart>
      <c:lineChart>
        <c:grouping val="standard"/>
        <c:varyColors val="0"/>
        <c:ser>
          <c:idx val="1"/>
          <c:order val="1"/>
          <c:tx>
            <c:strRef>
              <c:f>'For PPT (HIDE)'!$CD$28</c:f>
              <c:strCache>
                <c:ptCount val="1"/>
                <c:pt idx="0">
                  <c:v>Return on Investment (Reward)</c:v>
                </c:pt>
              </c:strCache>
            </c:strRef>
          </c:tx>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 PPT (HIDE)'!$CD$29:$CD$34</c:f>
              <c:numCache>
                <c:formatCode>0.0%</c:formatCode>
                <c:ptCount val="6"/>
                <c:pt idx="0">
                  <c:v>9.8391571470958589E-2</c:v>
                </c:pt>
                <c:pt idx="1">
                  <c:v>2.8457725105659398E-2</c:v>
                </c:pt>
                <c:pt idx="2">
                  <c:v>0.14298301303379896</c:v>
                </c:pt>
                <c:pt idx="3">
                  <c:v>-0.19177163395382091</c:v>
                </c:pt>
                <c:pt idx="4">
                  <c:v>3.0338273437815092E-2</c:v>
                </c:pt>
                <c:pt idx="5">
                  <c:v>7.4547232018816773E-2</c:v>
                </c:pt>
              </c:numCache>
            </c:numRef>
          </c:val>
          <c:smooth val="0"/>
          <c:extLst>
            <c:ext xmlns:c16="http://schemas.microsoft.com/office/drawing/2014/chart" uri="{C3380CC4-5D6E-409C-BE32-E72D297353CC}">
              <c16:uniqueId val="{00000001-3EAF-4E6F-A2F0-2EF579C400AA}"/>
            </c:ext>
          </c:extLst>
        </c:ser>
        <c:dLbls>
          <c:showLegendKey val="0"/>
          <c:showVal val="0"/>
          <c:showCatName val="0"/>
          <c:showSerName val="0"/>
          <c:showPercent val="0"/>
          <c:showBubbleSize val="0"/>
        </c:dLbls>
        <c:marker val="1"/>
        <c:smooth val="0"/>
        <c:axId val="3"/>
        <c:axId val="4"/>
      </c:lineChart>
      <c:catAx>
        <c:axId val="464495920"/>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Per Acre</a:t>
                </a:r>
              </a:p>
            </c:rich>
          </c:tx>
          <c:overlay val="0"/>
        </c:title>
        <c:numFmt formatCode="&quot;$&quot;#,##0.00;\(&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495920"/>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7.0422535211267609E-2"/>
          <c:y val="0.91972225218423043"/>
          <c:w val="0.9"/>
          <c:h val="5.9337000683133745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(HIDE)'!$CA$26</c:f>
          <c:strCache>
            <c:ptCount val="1"/>
            <c:pt idx="0">
              <c:v>Manitoba Risk &amp; Reward Analysis - 2018</c:v>
            </c:pt>
          </c:strCache>
        </c:strRef>
      </c:tx>
      <c:overlay val="0"/>
      <c:txPr>
        <a:bodyPr/>
        <a:lstStyle/>
        <a:p>
          <a:pPr>
            <a:defRPr sz="18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5495681981400233"/>
          <c:y val="9.8501097108882163E-2"/>
          <c:w val="0.80171574100337351"/>
          <c:h val="0.74909772379399131"/>
        </c:manualLayout>
      </c:layout>
      <c:barChart>
        <c:barDir val="col"/>
        <c:grouping val="clustered"/>
        <c:varyColors val="0"/>
        <c:ser>
          <c:idx val="3"/>
          <c:order val="0"/>
          <c:tx>
            <c:strRef>
              <c:f>'For PPT (HIDE)'!$AV$28</c:f>
              <c:strCache>
                <c:ptCount val="1"/>
                <c:pt idx="0">
                  <c:v>Margin Over Total Costs (Net Profit)</c:v>
                </c:pt>
              </c:strCache>
            </c:strRef>
          </c:tx>
          <c:spPr>
            <a:solidFill>
              <a:schemeClr val="accent2"/>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(HIDE)'!$B$7:$B$14</c:f>
              <c:strCache>
                <c:ptCount val="8"/>
                <c:pt idx="0">
                  <c:v>Canola</c:v>
                </c:pt>
                <c:pt idx="1">
                  <c:v>Wheat - Hard Red Spring</c:v>
                </c:pt>
                <c:pt idx="2">
                  <c:v>Soybeans</c:v>
                </c:pt>
                <c:pt idx="3">
                  <c:v>Barley</c:v>
                </c:pt>
                <c:pt idx="4">
                  <c:v>Oats</c:v>
                </c:pt>
                <c:pt idx="5">
                  <c:v>Corn</c:v>
                </c:pt>
                <c:pt idx="6">
                  <c:v>Wheat - Northern Hard Red</c:v>
                </c:pt>
                <c:pt idx="7">
                  <c:v>Wheat - Winter</c:v>
                </c:pt>
              </c:strCache>
            </c:strRef>
          </c:cat>
          <c:val>
            <c:numRef>
              <c:f>'For PPT (HIDE)'!$AV$29:$AV$36</c:f>
              <c:numCache>
                <c:formatCode>"$"#,##0.00;\("$"#,##0.00\)</c:formatCode>
                <c:ptCount val="8"/>
                <c:pt idx="0">
                  <c:v>40.31003907161903</c:v>
                </c:pt>
                <c:pt idx="1">
                  <c:v>10.424782343343963</c:v>
                </c:pt>
                <c:pt idx="2">
                  <c:v>52.540470671386743</c:v>
                </c:pt>
                <c:pt idx="3">
                  <c:v>-66.685877391788893</c:v>
                </c:pt>
                <c:pt idx="4">
                  <c:v>10.048093987725906</c:v>
                </c:pt>
                <c:pt idx="5">
                  <c:v>39.127771777533553</c:v>
                </c:pt>
                <c:pt idx="6">
                  <c:v>29.64127379615644</c:v>
                </c:pt>
                <c:pt idx="7">
                  <c:v>-30.028440915118267</c:v>
                </c:pt>
              </c:numCache>
            </c:numRef>
          </c:val>
          <c:extLst>
            <c:ext xmlns:c16="http://schemas.microsoft.com/office/drawing/2014/chart" uri="{C3380CC4-5D6E-409C-BE32-E72D297353CC}">
              <c16:uniqueId val="{00000000-7944-4ABC-9FFC-C8DEF4D91E81}"/>
            </c:ext>
          </c:extLst>
        </c:ser>
        <c:ser>
          <c:idx val="0"/>
          <c:order val="1"/>
          <c:tx>
            <c:strRef>
              <c:f>'For PPT (HIDE)'!$BY$28</c:f>
              <c:strCache>
                <c:ptCount val="1"/>
                <c:pt idx="0">
                  <c:v> Costs Not Covered By 80% Insured Value AgriInsurance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(HIDE)'!$B$7:$B$14</c:f>
              <c:strCache>
                <c:ptCount val="8"/>
                <c:pt idx="0">
                  <c:v>Canola</c:v>
                </c:pt>
                <c:pt idx="1">
                  <c:v>Wheat - Hard Red Spring</c:v>
                </c:pt>
                <c:pt idx="2">
                  <c:v>Soybeans</c:v>
                </c:pt>
                <c:pt idx="3">
                  <c:v>Barley</c:v>
                </c:pt>
                <c:pt idx="4">
                  <c:v>Oats</c:v>
                </c:pt>
                <c:pt idx="5">
                  <c:v>Corn</c:v>
                </c:pt>
                <c:pt idx="6">
                  <c:v>Wheat - Northern Hard Red</c:v>
                </c:pt>
                <c:pt idx="7">
                  <c:v>Wheat - Winter</c:v>
                </c:pt>
              </c:strCache>
            </c:strRef>
          </c:cat>
          <c:val>
            <c:numRef>
              <c:f>'For PPT (HIDE)'!$BY$29:$BY$36</c:f>
              <c:numCache>
                <c:formatCode>"$"#,##0.00;\("$"#,##0.00\)</c:formatCode>
                <c:ptCount val="8"/>
                <c:pt idx="0">
                  <c:v>79.263960928380925</c:v>
                </c:pt>
                <c:pt idx="1">
                  <c:v>92.32641765665602</c:v>
                </c:pt>
                <c:pt idx="2">
                  <c:v>84.809129328613267</c:v>
                </c:pt>
                <c:pt idx="3">
                  <c:v>128.58467739178889</c:v>
                </c:pt>
                <c:pt idx="4">
                  <c:v>68.60590601227409</c:v>
                </c:pt>
                <c:pt idx="5">
                  <c:v>178.92662822246643</c:v>
                </c:pt>
                <c:pt idx="6">
                  <c:v>102.02632620384355</c:v>
                </c:pt>
                <c:pt idx="7">
                  <c:v>106.23244091511822</c:v>
                </c:pt>
              </c:numCache>
            </c:numRef>
          </c:val>
          <c:extLst>
            <c:ext xmlns:c16="http://schemas.microsoft.com/office/drawing/2014/chart" uri="{C3380CC4-5D6E-409C-BE32-E72D297353CC}">
              <c16:uniqueId val="{00000001-7944-4ABC-9FFC-C8DEF4D91E81}"/>
            </c:ext>
          </c:extLst>
        </c:ser>
        <c:dLbls>
          <c:showLegendKey val="0"/>
          <c:showVal val="0"/>
          <c:showCatName val="0"/>
          <c:showSerName val="0"/>
          <c:showPercent val="0"/>
          <c:showBubbleSize val="0"/>
        </c:dLbls>
        <c:gapWidth val="75"/>
        <c:axId val="464493296"/>
        <c:axId val="1"/>
      </c:barChart>
      <c:catAx>
        <c:axId val="464493296"/>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464493296"/>
        <c:crosses val="autoZero"/>
        <c:crossBetween val="between"/>
      </c:valAx>
      <c:spPr>
        <a:solidFill>
          <a:schemeClr val="bg1">
            <a:lumMod val="85000"/>
          </a:schemeClr>
        </a:solidFill>
      </c:spPr>
    </c:plotArea>
    <c:legend>
      <c:legendPos val="r"/>
      <c:layout>
        <c:manualLayout>
          <c:xMode val="edge"/>
          <c:yMode val="edge"/>
          <c:x val="0.18116978912118742"/>
          <c:y val="0.88099461251554079"/>
          <c:w val="0.62767475186291377"/>
          <c:h val="0.10124326564442598"/>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CA"/>
              <a:t>Manitoba Risk &amp; Reward Analysis - 2018</a:t>
            </a:r>
          </a:p>
        </c:rich>
      </c:tx>
      <c:overlay val="0"/>
    </c:title>
    <c:autoTitleDeleted val="0"/>
    <c:plotArea>
      <c:layout>
        <c:manualLayout>
          <c:layoutTarget val="inner"/>
          <c:xMode val="edge"/>
          <c:yMode val="edge"/>
          <c:x val="0.13381715118309831"/>
          <c:y val="0.12168099908816581"/>
          <c:w val="0.77983094318533375"/>
          <c:h val="0.64897809079047464"/>
        </c:manualLayout>
      </c:layout>
      <c:barChart>
        <c:barDir val="col"/>
        <c:grouping val="clustered"/>
        <c:varyColors val="0"/>
        <c:ser>
          <c:idx val="0"/>
          <c:order val="0"/>
          <c:tx>
            <c:v>Return on Investment (Reward)</c:v>
          </c:tx>
          <c:spPr>
            <a:solidFill>
              <a:schemeClr val="accent1"/>
            </a:solidFill>
            <a:ln>
              <a:solidFill>
                <a:schemeClr val="tx1"/>
              </a:solidFill>
            </a:ln>
          </c:spPr>
          <c:invertIfNegative val="0"/>
          <c:cat>
            <c:strLit>
              <c:ptCount val="8"/>
              <c:pt idx="0">
                <c:v>Canola</c:v>
              </c:pt>
              <c:pt idx="1">
                <c:v>Wheat - Hard Red Spring</c:v>
              </c:pt>
              <c:pt idx="2">
                <c:v>Soybeans</c:v>
              </c:pt>
              <c:pt idx="3">
                <c:v>Barley</c:v>
              </c:pt>
              <c:pt idx="4">
                <c:v>Oats</c:v>
              </c:pt>
              <c:pt idx="5">
                <c:v>Wheat - Winter</c:v>
              </c:pt>
              <c:pt idx="6">
                <c:v>Corn</c:v>
              </c:pt>
              <c:pt idx="7">
                <c:v>Wheat - Northern Hard Red</c:v>
              </c:pt>
            </c:strLit>
          </c:cat>
          <c:val>
            <c:numLit>
              <c:formatCode>General</c:formatCode>
              <c:ptCount val="8"/>
              <c:pt idx="0">
                <c:v>9.8391571470958589E-2</c:v>
              </c:pt>
              <c:pt idx="1">
                <c:v>2.8457725105659398E-2</c:v>
              </c:pt>
              <c:pt idx="2">
                <c:v>0.14298301303379896</c:v>
              </c:pt>
              <c:pt idx="3">
                <c:v>-0.19177163395382091</c:v>
              </c:pt>
              <c:pt idx="4">
                <c:v>3.0338273437815092E-2</c:v>
              </c:pt>
              <c:pt idx="5">
                <c:v>-8.4592294781920596E-2</c:v>
              </c:pt>
              <c:pt idx="6">
                <c:v>7.4547232018816773E-2</c:v>
              </c:pt>
              <c:pt idx="7">
                <c:v>7.834172107923576E-2</c:v>
              </c:pt>
            </c:numLit>
          </c:val>
          <c:extLst>
            <c:ext xmlns:c16="http://schemas.microsoft.com/office/drawing/2014/chart" uri="{C3380CC4-5D6E-409C-BE32-E72D297353CC}">
              <c16:uniqueId val="{00000000-6A75-4FA4-9D2D-D26A9EF84E77}"/>
            </c:ext>
          </c:extLst>
        </c:ser>
        <c:ser>
          <c:idx val="1"/>
          <c:order val="2"/>
          <c:tx>
            <c:v>Return on Asset (Reward)</c:v>
          </c:tx>
          <c:invertIfNegative val="0"/>
          <c:cat>
            <c:strLit>
              <c:ptCount val="8"/>
              <c:pt idx="0">
                <c:v>Canola</c:v>
              </c:pt>
              <c:pt idx="1">
                <c:v>Wheat - Hard Red Spring</c:v>
              </c:pt>
              <c:pt idx="2">
                <c:v>Soybeans</c:v>
              </c:pt>
              <c:pt idx="3">
                <c:v>Barley</c:v>
              </c:pt>
              <c:pt idx="4">
                <c:v>Oats</c:v>
              </c:pt>
              <c:pt idx="5">
                <c:v>Wheat - Winter</c:v>
              </c:pt>
              <c:pt idx="6">
                <c:v>Corn</c:v>
              </c:pt>
              <c:pt idx="7">
                <c:v>Wheat - Northern Hard Red</c:v>
              </c:pt>
            </c:strLit>
          </c:cat>
          <c:val>
            <c:numLit>
              <c:formatCode>General</c:formatCode>
              <c:ptCount val="8"/>
              <c:pt idx="0">
                <c:v>3.6248574651538322E-2</c:v>
              </c:pt>
              <c:pt idx="1">
                <c:v>2.8460783229175491E-2</c:v>
              </c:pt>
              <c:pt idx="2">
                <c:v>3.9676194067425237E-2</c:v>
              </c:pt>
              <c:pt idx="3">
                <c:v>7.5554448274231089E-3</c:v>
              </c:pt>
              <c:pt idx="4">
                <c:v>3.0314054596918875E-2</c:v>
              </c:pt>
              <c:pt idx="5">
                <c:v>1.7593753421860259E-2</c:v>
              </c:pt>
              <c:pt idx="6">
                <c:v>4.0536895326084163E-2</c:v>
              </c:pt>
              <c:pt idx="7">
                <c:v>3.4355567596030624E-2</c:v>
              </c:pt>
            </c:numLit>
          </c:val>
          <c:extLst>
            <c:ext xmlns:c16="http://schemas.microsoft.com/office/drawing/2014/chart" uri="{C3380CC4-5D6E-409C-BE32-E72D297353CC}">
              <c16:uniqueId val="{00000001-6A75-4FA4-9D2D-D26A9EF84E77}"/>
            </c:ext>
          </c:extLst>
        </c:ser>
        <c:dLbls>
          <c:showLegendKey val="0"/>
          <c:showVal val="0"/>
          <c:showCatName val="0"/>
          <c:showSerName val="0"/>
          <c:showPercent val="0"/>
          <c:showBubbleSize val="0"/>
        </c:dLbls>
        <c:gapWidth val="150"/>
        <c:axId val="464881664"/>
        <c:axId val="1"/>
      </c:barChart>
      <c:lineChart>
        <c:grouping val="standard"/>
        <c:varyColors val="0"/>
        <c:ser>
          <c:idx val="2"/>
          <c:order val="1"/>
          <c:tx>
            <c:v>80% Coverage of Total Costs (Risk)</c:v>
          </c:tx>
          <c:spPr>
            <a:ln w="31750">
              <a:solidFill>
                <a:schemeClr val="tx1"/>
              </a:solidFill>
              <a:prstDash val="sysDash"/>
            </a:ln>
          </c:spP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Canola</c:v>
              </c:pt>
              <c:pt idx="1">
                <c:v>Wheat - Hard Red Spring</c:v>
              </c:pt>
              <c:pt idx="2">
                <c:v>Soybeans</c:v>
              </c:pt>
              <c:pt idx="3">
                <c:v>Barley</c:v>
              </c:pt>
              <c:pt idx="4">
                <c:v>Oats</c:v>
              </c:pt>
              <c:pt idx="5">
                <c:v>Wheat - Winter</c:v>
              </c:pt>
              <c:pt idx="6">
                <c:v>Corn</c:v>
              </c:pt>
              <c:pt idx="7">
                <c:v>Wheat - Northern Hard Red</c:v>
              </c:pt>
            </c:strLit>
          </c:cat>
          <c:val>
            <c:numLit>
              <c:formatCode>General</c:formatCode>
              <c:ptCount val="8"/>
              <c:pt idx="0">
                <c:v>0.80652696309969563</c:v>
              </c:pt>
              <c:pt idx="1">
                <c:v>0.7479659788445403</c:v>
              </c:pt>
              <c:pt idx="2">
                <c:v>0.76920144244573452</c:v>
              </c:pt>
              <c:pt idx="3">
                <c:v>0.63022314994861917</c:v>
              </c:pt>
              <c:pt idx="4">
                <c:v>0.79285775604886888</c:v>
              </c:pt>
              <c:pt idx="5">
                <c:v>0.70073551328566375</c:v>
              </c:pt>
              <c:pt idx="6">
                <c:v>0.65910440941327797</c:v>
              </c:pt>
              <c:pt idx="7">
                <c:v>0.7303449897204799</c:v>
              </c:pt>
            </c:numLit>
          </c:val>
          <c:smooth val="0"/>
          <c:extLst>
            <c:ext xmlns:c16="http://schemas.microsoft.com/office/drawing/2014/chart" uri="{C3380CC4-5D6E-409C-BE32-E72D297353CC}">
              <c16:uniqueId val="{00000002-6A75-4FA4-9D2D-D26A9EF84E77}"/>
            </c:ext>
          </c:extLst>
        </c:ser>
        <c:dLbls>
          <c:showLegendKey val="0"/>
          <c:showVal val="0"/>
          <c:showCatName val="0"/>
          <c:showSerName val="0"/>
          <c:showPercent val="0"/>
          <c:showBubbleSize val="0"/>
        </c:dLbls>
        <c:marker val="1"/>
        <c:smooth val="0"/>
        <c:axId val="3"/>
        <c:axId val="4"/>
      </c:lineChart>
      <c:catAx>
        <c:axId val="464881664"/>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8816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95000"/>
          </a:schemeClr>
        </a:solidFill>
      </c:spPr>
    </c:plotArea>
    <c:legend>
      <c:legendPos val="r"/>
      <c:layout>
        <c:manualLayout>
          <c:xMode val="edge"/>
          <c:yMode val="edge"/>
          <c:x val="1.5151609865560698E-2"/>
          <c:y val="0.87959265091863514"/>
          <c:w val="0.9500014024964436"/>
          <c:h val="0.10204094488188975"/>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CA"/>
              <a:t>Manitoba ROI Based on Seeding Date - 2018</a:t>
            </a:r>
          </a:p>
        </c:rich>
      </c:tx>
      <c:overlay val="0"/>
    </c:title>
    <c:autoTitleDeleted val="0"/>
    <c:plotArea>
      <c:layout>
        <c:manualLayout>
          <c:layoutTarget val="inner"/>
          <c:xMode val="edge"/>
          <c:yMode val="edge"/>
          <c:x val="0.11548198520639466"/>
          <c:y val="0.10162184534625479"/>
          <c:w val="0.83906346933905984"/>
          <c:h val="0.71181344639612354"/>
        </c:manualLayout>
      </c:layout>
      <c:lineChart>
        <c:grouping val="standard"/>
        <c:varyColors val="0"/>
        <c:ser>
          <c:idx val="0"/>
          <c:order val="0"/>
          <c:tx>
            <c:v>Canola</c:v>
          </c:tx>
          <c:spPr>
            <a:ln>
              <a:solidFill>
                <a:schemeClr val="tx1"/>
              </a:solidFill>
            </a:ln>
          </c:spPr>
          <c:marker>
            <c:spPr>
              <a:ln>
                <a:solidFill>
                  <a:schemeClr val="tx1"/>
                </a:solidFill>
              </a:ln>
            </c:spPr>
          </c:marker>
          <c:cat>
            <c:strLit>
              <c:ptCount val="8"/>
              <c:pt idx="0">
                <c:v>4th week April</c:v>
              </c:pt>
              <c:pt idx="1">
                <c:v>1st week May </c:v>
              </c:pt>
              <c:pt idx="2">
                <c:v>2nd week May</c:v>
              </c:pt>
              <c:pt idx="3">
                <c:v>3rd week May</c:v>
              </c:pt>
              <c:pt idx="4">
                <c:v>4th week May</c:v>
              </c:pt>
              <c:pt idx="5">
                <c:v>1st week June</c:v>
              </c:pt>
              <c:pt idx="6">
                <c:v>2nd week June</c:v>
              </c:pt>
              <c:pt idx="7">
                <c:v>3rd week June</c:v>
              </c:pt>
            </c:strLit>
          </c:cat>
          <c:val>
            <c:numLit>
              <c:formatCode>General</c:formatCode>
              <c:ptCount val="8"/>
              <c:pt idx="0">
                <c:v>0.19625826048902092</c:v>
              </c:pt>
              <c:pt idx="1">
                <c:v>0.18406611404569342</c:v>
              </c:pt>
              <c:pt idx="2">
                <c:v>0.15342098920165365</c:v>
              </c:pt>
              <c:pt idx="3">
                <c:v>0.13507784995808869</c:v>
              </c:pt>
              <c:pt idx="4">
                <c:v>7.0821943027037496E-2</c:v>
              </c:pt>
              <c:pt idx="5">
                <c:v>6.5660360959864453E-3</c:v>
              </c:pt>
              <c:pt idx="6">
                <c:v>-8.2074163721719912E-2</c:v>
              </c:pt>
              <c:pt idx="7">
                <c:v>-0.17082420269657339</c:v>
              </c:pt>
            </c:numLit>
          </c:val>
          <c:smooth val="0"/>
          <c:extLst>
            <c:ext xmlns:c16="http://schemas.microsoft.com/office/drawing/2014/chart" uri="{C3380CC4-5D6E-409C-BE32-E72D297353CC}">
              <c16:uniqueId val="{00000000-C963-45AA-9011-48E6F3FA37DF}"/>
            </c:ext>
          </c:extLst>
        </c:ser>
        <c:ser>
          <c:idx val="1"/>
          <c:order val="1"/>
          <c:tx>
            <c:v>Wheat - Hard Red Spring</c:v>
          </c:tx>
          <c:spPr>
            <a:ln>
              <a:solidFill>
                <a:schemeClr val="tx1"/>
              </a:solidFill>
              <a:prstDash val="sysDash"/>
            </a:ln>
          </c:spPr>
          <c:marker>
            <c:spPr>
              <a:ln>
                <a:solidFill>
                  <a:schemeClr val="tx1"/>
                </a:solidFill>
              </a:ln>
            </c:spPr>
          </c:marker>
          <c:cat>
            <c:strLit>
              <c:ptCount val="8"/>
              <c:pt idx="0">
                <c:v>4th week April</c:v>
              </c:pt>
              <c:pt idx="1">
                <c:v>1st week May </c:v>
              </c:pt>
              <c:pt idx="2">
                <c:v>2nd week May</c:v>
              </c:pt>
              <c:pt idx="3">
                <c:v>3rd week May</c:v>
              </c:pt>
              <c:pt idx="4">
                <c:v>4th week May</c:v>
              </c:pt>
              <c:pt idx="5">
                <c:v>1st week June</c:v>
              </c:pt>
              <c:pt idx="6">
                <c:v>2nd week June</c:v>
              </c:pt>
              <c:pt idx="7">
                <c:v>3rd week June</c:v>
              </c:pt>
            </c:strLit>
          </c:cat>
          <c:val>
            <c:numLit>
              <c:formatCode>General</c:formatCode>
              <c:ptCount val="8"/>
              <c:pt idx="0">
                <c:v>0.16117818018705948</c:v>
              </c:pt>
              <c:pt idx="1">
                <c:v>9.9009925047907676E-2</c:v>
              </c:pt>
              <c:pt idx="2">
                <c:v>2.4138202660215574E-2</c:v>
              </c:pt>
              <c:pt idx="3">
                <c:v>-6.7805917964230328E-2</c:v>
              </c:pt>
              <c:pt idx="4">
                <c:v>-0.15327075492051065</c:v>
              </c:pt>
              <c:pt idx="5">
                <c:v>-0.22382295486275877</c:v>
              </c:pt>
              <c:pt idx="6">
                <c:v>-0.33294231949646941</c:v>
              </c:pt>
              <c:pt idx="7">
                <c:v>-0.40555143488892892</c:v>
              </c:pt>
            </c:numLit>
          </c:val>
          <c:smooth val="0"/>
          <c:extLst>
            <c:ext xmlns:c16="http://schemas.microsoft.com/office/drawing/2014/chart" uri="{C3380CC4-5D6E-409C-BE32-E72D297353CC}">
              <c16:uniqueId val="{00000001-C963-45AA-9011-48E6F3FA37DF}"/>
            </c:ext>
          </c:extLst>
        </c:ser>
        <c:ser>
          <c:idx val="2"/>
          <c:order val="2"/>
          <c:tx>
            <c:v>Soybeans</c:v>
          </c:tx>
          <c:spPr>
            <a:ln>
              <a:prstDash val="sysDash"/>
            </a:ln>
          </c:spPr>
          <c:marker>
            <c:spPr>
              <a:ln>
                <a:solidFill>
                  <a:schemeClr val="tx1"/>
                </a:solidFill>
              </a:ln>
            </c:spPr>
          </c:marker>
          <c:cat>
            <c:strLit>
              <c:ptCount val="8"/>
              <c:pt idx="0">
                <c:v>4th week April</c:v>
              </c:pt>
              <c:pt idx="1">
                <c:v>1st week May </c:v>
              </c:pt>
              <c:pt idx="2">
                <c:v>2nd week May</c:v>
              </c:pt>
              <c:pt idx="3">
                <c:v>3rd week May</c:v>
              </c:pt>
              <c:pt idx="4">
                <c:v>4th week May</c:v>
              </c:pt>
              <c:pt idx="5">
                <c:v>1st week June</c:v>
              </c:pt>
              <c:pt idx="6">
                <c:v>2nd week June</c:v>
              </c:pt>
              <c:pt idx="7">
                <c:v>3rd week June</c:v>
              </c:pt>
            </c:strLit>
          </c:cat>
          <c:val>
            <c:numLit>
              <c:formatCode>General</c:formatCode>
              <c:ptCount val="8"/>
              <c:pt idx="0">
                <c:v>0.12824446699237399</c:v>
              </c:pt>
              <c:pt idx="1">
                <c:v>0.22299182394616499</c:v>
              </c:pt>
              <c:pt idx="2">
                <c:v>0.22299182394616499</c:v>
              </c:pt>
              <c:pt idx="3">
                <c:v>0.14961231450939511</c:v>
              </c:pt>
              <c:pt idx="4">
                <c:v>2.639874570435154E-2</c:v>
              </c:pt>
              <c:pt idx="5">
                <c:v>-1.3605659751831548E-2</c:v>
              </c:pt>
            </c:numLit>
          </c:val>
          <c:smooth val="0"/>
          <c:extLst>
            <c:ext xmlns:c16="http://schemas.microsoft.com/office/drawing/2014/chart" uri="{C3380CC4-5D6E-409C-BE32-E72D297353CC}">
              <c16:uniqueId val="{00000002-C963-45AA-9011-48E6F3FA37DF}"/>
            </c:ext>
          </c:extLst>
        </c:ser>
        <c:ser>
          <c:idx val="3"/>
          <c:order val="3"/>
          <c:tx>
            <c:v>Oats</c:v>
          </c:tx>
          <c:spPr>
            <a:ln>
              <a:prstDash val="dash"/>
            </a:ln>
          </c:spPr>
          <c:marker>
            <c:spPr>
              <a:ln>
                <a:solidFill>
                  <a:schemeClr val="tx1"/>
                </a:solidFill>
              </a:ln>
            </c:spPr>
          </c:marker>
          <c:cat>
            <c:strLit>
              <c:ptCount val="8"/>
              <c:pt idx="0">
                <c:v>4th week April</c:v>
              </c:pt>
              <c:pt idx="1">
                <c:v>1st week May </c:v>
              </c:pt>
              <c:pt idx="2">
                <c:v>2nd week May</c:v>
              </c:pt>
              <c:pt idx="3">
                <c:v>3rd week May</c:v>
              </c:pt>
              <c:pt idx="4">
                <c:v>4th week May</c:v>
              </c:pt>
              <c:pt idx="5">
                <c:v>1st week June</c:v>
              </c:pt>
              <c:pt idx="6">
                <c:v>2nd week June</c:v>
              </c:pt>
              <c:pt idx="7">
                <c:v>3rd week June</c:v>
              </c:pt>
            </c:strLit>
          </c:cat>
          <c:val>
            <c:numLit>
              <c:formatCode>General</c:formatCode>
              <c:ptCount val="8"/>
              <c:pt idx="0">
                <c:v>0.14771894544495653</c:v>
              </c:pt>
              <c:pt idx="1">
                <c:v>0.17499776702848446</c:v>
              </c:pt>
              <c:pt idx="2">
                <c:v>8.3297660692518663E-2</c:v>
              </c:pt>
              <c:pt idx="3">
                <c:v>-3.7045849645017982E-2</c:v>
              </c:pt>
              <c:pt idx="4">
                <c:v>-0.11875167472863674</c:v>
              </c:pt>
              <c:pt idx="5">
                <c:v>-0.21374886353960335</c:v>
              </c:pt>
              <c:pt idx="6">
                <c:v>-0.33079529140213909</c:v>
              </c:pt>
              <c:pt idx="7">
                <c:v>-0.44227789258811068</c:v>
              </c:pt>
            </c:numLit>
          </c:val>
          <c:smooth val="0"/>
          <c:extLst>
            <c:ext xmlns:c16="http://schemas.microsoft.com/office/drawing/2014/chart" uri="{C3380CC4-5D6E-409C-BE32-E72D297353CC}">
              <c16:uniqueId val="{00000003-C963-45AA-9011-48E6F3FA37DF}"/>
            </c:ext>
          </c:extLst>
        </c:ser>
        <c:dLbls>
          <c:showLegendKey val="0"/>
          <c:showVal val="0"/>
          <c:showCatName val="0"/>
          <c:showSerName val="0"/>
          <c:showPercent val="0"/>
          <c:showBubbleSize val="0"/>
        </c:dLbls>
        <c:marker val="1"/>
        <c:smooth val="0"/>
        <c:axId val="464882648"/>
        <c:axId val="1"/>
      </c:lineChart>
      <c:catAx>
        <c:axId val="464882648"/>
        <c:scaling>
          <c:orientation val="minMax"/>
        </c:scaling>
        <c:delete val="0"/>
        <c:axPos val="b"/>
        <c:numFmt formatCode="General" sourceLinked="1"/>
        <c:majorTickMark val="cross"/>
        <c:minorTickMark val="none"/>
        <c:tickLblPos val="low"/>
        <c:spPr>
          <a:ln w="31750"/>
        </c:spPr>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464882648"/>
        <c:crosses val="autoZero"/>
        <c:crossBetween val="between"/>
      </c:valAx>
      <c:spPr>
        <a:solidFill>
          <a:schemeClr val="bg1">
            <a:lumMod val="95000"/>
          </a:schemeClr>
        </a:solidFill>
      </c:spPr>
    </c:plotArea>
    <c:legend>
      <c:legendPos val="r"/>
      <c:layout>
        <c:manualLayout>
          <c:xMode val="edge"/>
          <c:yMode val="edge"/>
          <c:x val="7.3906606423055562E-2"/>
          <c:y val="0.90303215092125466"/>
          <c:w val="0.83408877543275117"/>
          <c:h val="5.2525290626096899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CA"/>
              <a:t>MASC - 5 Year Average Seeded Acres</a:t>
            </a:r>
          </a:p>
        </c:rich>
      </c:tx>
      <c:overlay val="0"/>
    </c:title>
    <c:autoTitleDeleted val="0"/>
    <c:plotArea>
      <c:layout>
        <c:manualLayout>
          <c:layoutTarget val="inner"/>
          <c:xMode val="edge"/>
          <c:yMode val="edge"/>
          <c:x val="3.9216191132002039E-2"/>
          <c:y val="0.15397749370397526"/>
          <c:w val="0.68836122670977906"/>
          <c:h val="0.73295142763025056"/>
        </c:manualLayout>
      </c:layout>
      <c:pieChart>
        <c:varyColors val="1"/>
        <c:ser>
          <c:idx val="0"/>
          <c:order val="0"/>
          <c:tx>
            <c:v>5 yr Average Acres</c:v>
          </c:tx>
          <c:explosion val="1"/>
          <c:dPt>
            <c:idx val="0"/>
            <c:bubble3D val="0"/>
            <c:explosion val="0"/>
            <c:extLst>
              <c:ext xmlns:c16="http://schemas.microsoft.com/office/drawing/2014/chart" uri="{C3380CC4-5D6E-409C-BE32-E72D297353CC}">
                <c16:uniqueId val="{00000000-8BEB-47F7-AE07-446306869E98}"/>
              </c:ext>
            </c:extLst>
          </c:dPt>
          <c:dPt>
            <c:idx val="1"/>
            <c:bubble3D val="0"/>
            <c:extLst>
              <c:ext xmlns:c16="http://schemas.microsoft.com/office/drawing/2014/chart" uri="{C3380CC4-5D6E-409C-BE32-E72D297353CC}">
                <c16:uniqueId val="{00000001-8BEB-47F7-AE07-446306869E98}"/>
              </c:ext>
            </c:extLst>
          </c:dPt>
          <c:dPt>
            <c:idx val="2"/>
            <c:bubble3D val="0"/>
            <c:extLst>
              <c:ext xmlns:c16="http://schemas.microsoft.com/office/drawing/2014/chart" uri="{C3380CC4-5D6E-409C-BE32-E72D297353CC}">
                <c16:uniqueId val="{00000002-8BEB-47F7-AE07-446306869E98}"/>
              </c:ext>
            </c:extLst>
          </c:dPt>
          <c:dPt>
            <c:idx val="3"/>
            <c:bubble3D val="0"/>
            <c:extLst>
              <c:ext xmlns:c16="http://schemas.microsoft.com/office/drawing/2014/chart" uri="{C3380CC4-5D6E-409C-BE32-E72D297353CC}">
                <c16:uniqueId val="{00000003-8BEB-47F7-AE07-446306869E98}"/>
              </c:ext>
            </c:extLst>
          </c:dPt>
          <c:dPt>
            <c:idx val="4"/>
            <c:bubble3D val="0"/>
            <c:extLst>
              <c:ext xmlns:c16="http://schemas.microsoft.com/office/drawing/2014/chart" uri="{C3380CC4-5D6E-409C-BE32-E72D297353CC}">
                <c16:uniqueId val="{00000004-8BEB-47F7-AE07-446306869E98}"/>
              </c:ext>
            </c:extLst>
          </c:dPt>
          <c:dPt>
            <c:idx val="5"/>
            <c:bubble3D val="0"/>
            <c:extLst>
              <c:ext xmlns:c16="http://schemas.microsoft.com/office/drawing/2014/chart" uri="{C3380CC4-5D6E-409C-BE32-E72D297353CC}">
                <c16:uniqueId val="{00000005-8BEB-47F7-AE07-446306869E98}"/>
              </c:ext>
            </c:extLst>
          </c:dPt>
          <c:dPt>
            <c:idx val="6"/>
            <c:bubble3D val="0"/>
            <c:extLst>
              <c:ext xmlns:c16="http://schemas.microsoft.com/office/drawing/2014/chart" uri="{C3380CC4-5D6E-409C-BE32-E72D297353CC}">
                <c16:uniqueId val="{00000006-8BEB-47F7-AE07-446306869E98}"/>
              </c:ext>
            </c:extLst>
          </c:dPt>
          <c:dPt>
            <c:idx val="7"/>
            <c:bubble3D val="0"/>
            <c:spPr>
              <a:solidFill>
                <a:schemeClr val="accent2">
                  <a:lumMod val="75000"/>
                </a:schemeClr>
              </a:solidFill>
            </c:spPr>
            <c:extLst>
              <c:ext xmlns:c16="http://schemas.microsoft.com/office/drawing/2014/chart" uri="{C3380CC4-5D6E-409C-BE32-E72D297353CC}">
                <c16:uniqueId val="{00000007-8BEB-47F7-AE07-446306869E98}"/>
              </c:ext>
            </c:extLst>
          </c:dPt>
          <c:dLbls>
            <c:dLbl>
              <c:idx val="0"/>
              <c:layout>
                <c:manualLayout>
                  <c:x val="0.13587916529445221"/>
                  <c:y val="-0.21192606243368514"/>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EB-47F7-AE07-446306869E98}"/>
                </c:ext>
              </c:extLst>
            </c:dLbl>
            <c:dLbl>
              <c:idx val="1"/>
              <c:layout>
                <c:manualLayout>
                  <c:x val="0.17269153618155145"/>
                  <c:y val="0.19465758269578004"/>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EB-47F7-AE07-446306869E98}"/>
                </c:ext>
              </c:extLst>
            </c:dLbl>
            <c:dLbl>
              <c:idx val="3"/>
              <c:layout>
                <c:manualLayout>
                  <c:x val="-4.0154486392622972E-3"/>
                  <c:y val="6.4925572246731572E-3"/>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EB-47F7-AE07-446306869E98}"/>
                </c:ext>
              </c:extLst>
            </c:dLbl>
            <c:dLbl>
              <c:idx val="4"/>
              <c:layout>
                <c:manualLayout>
                  <c:x val="6.6305400037923012E-4"/>
                  <c:y val="-1.2927781190471759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EB-47F7-AE07-446306869E98}"/>
                </c:ext>
              </c:extLst>
            </c:dLbl>
            <c:dLbl>
              <c:idx val="5"/>
              <c:layout>
                <c:manualLayout>
                  <c:x val="-9.2131972096643807E-3"/>
                  <c:y val="-2.3963316642157317E-3"/>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EB-47F7-AE07-446306869E98}"/>
                </c:ext>
              </c:extLst>
            </c:dLbl>
            <c:dLbl>
              <c:idx val="6"/>
              <c:layout>
                <c:manualLayout>
                  <c:x val="-3.7707453868647575E-3"/>
                  <c:y val="4.4650447062911464E-4"/>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EB-47F7-AE07-446306869E98}"/>
                </c:ext>
              </c:extLst>
            </c:dLbl>
            <c:dLbl>
              <c:idx val="7"/>
              <c:layout>
                <c:manualLayout>
                  <c:x val="1.3192119996407294E-2"/>
                  <c:y val="-1.0686820175846814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EB-47F7-AE07-446306869E98}"/>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8"/>
              <c:pt idx="0">
                <c:v>Canola</c:v>
              </c:pt>
              <c:pt idx="1">
                <c:v>Wheat - Hard Red Spring</c:v>
              </c:pt>
              <c:pt idx="2">
                <c:v>Soybeans</c:v>
              </c:pt>
              <c:pt idx="3">
                <c:v>Barley</c:v>
              </c:pt>
              <c:pt idx="4">
                <c:v>Oats</c:v>
              </c:pt>
              <c:pt idx="5">
                <c:v>Wheat - Winter</c:v>
              </c:pt>
              <c:pt idx="6">
                <c:v>Corn</c:v>
              </c:pt>
              <c:pt idx="7">
                <c:v>Other</c:v>
              </c:pt>
            </c:strLit>
          </c:cat>
          <c:val>
            <c:numLit>
              <c:formatCode>General</c:formatCode>
              <c:ptCount val="8"/>
              <c:pt idx="0">
                <c:v>3249756.4</c:v>
              </c:pt>
              <c:pt idx="1">
                <c:v>2405556</c:v>
              </c:pt>
              <c:pt idx="2">
                <c:v>1252171.8</c:v>
              </c:pt>
              <c:pt idx="3">
                <c:v>411264.2</c:v>
              </c:pt>
              <c:pt idx="4">
                <c:v>403979.4</c:v>
              </c:pt>
              <c:pt idx="5">
                <c:v>374224.8</c:v>
              </c:pt>
              <c:pt idx="6">
                <c:v>282312.40000000002</c:v>
              </c:pt>
              <c:pt idx="7">
                <c:v>750609</c:v>
              </c:pt>
            </c:numLit>
          </c:val>
          <c:extLst>
            <c:ext xmlns:c16="http://schemas.microsoft.com/office/drawing/2014/chart" uri="{C3380CC4-5D6E-409C-BE32-E72D297353CC}">
              <c16:uniqueId val="{00000008-8BEB-47F7-AE07-446306869E98}"/>
            </c:ext>
          </c:extLst>
        </c:ser>
        <c:ser>
          <c:idx val="1"/>
          <c:order val="1"/>
          <c:tx>
            <c:v>2017 Acres</c:v>
          </c:tx>
          <c:dPt>
            <c:idx val="0"/>
            <c:bubble3D val="0"/>
            <c:extLst>
              <c:ext xmlns:c16="http://schemas.microsoft.com/office/drawing/2014/chart" uri="{C3380CC4-5D6E-409C-BE32-E72D297353CC}">
                <c16:uniqueId val="{00000009-8BEB-47F7-AE07-446306869E98}"/>
              </c:ext>
            </c:extLst>
          </c:dPt>
          <c:dPt>
            <c:idx val="1"/>
            <c:bubble3D val="0"/>
            <c:extLst>
              <c:ext xmlns:c16="http://schemas.microsoft.com/office/drawing/2014/chart" uri="{C3380CC4-5D6E-409C-BE32-E72D297353CC}">
                <c16:uniqueId val="{0000000A-8BEB-47F7-AE07-446306869E98}"/>
              </c:ext>
            </c:extLst>
          </c:dPt>
          <c:dPt>
            <c:idx val="2"/>
            <c:bubble3D val="0"/>
            <c:extLst>
              <c:ext xmlns:c16="http://schemas.microsoft.com/office/drawing/2014/chart" uri="{C3380CC4-5D6E-409C-BE32-E72D297353CC}">
                <c16:uniqueId val="{0000000B-8BEB-47F7-AE07-446306869E98}"/>
              </c:ext>
            </c:extLst>
          </c:dPt>
          <c:dPt>
            <c:idx val="3"/>
            <c:bubble3D val="0"/>
            <c:extLst>
              <c:ext xmlns:c16="http://schemas.microsoft.com/office/drawing/2014/chart" uri="{C3380CC4-5D6E-409C-BE32-E72D297353CC}">
                <c16:uniqueId val="{0000000C-8BEB-47F7-AE07-446306869E98}"/>
              </c:ext>
            </c:extLst>
          </c:dPt>
          <c:dPt>
            <c:idx val="4"/>
            <c:bubble3D val="0"/>
            <c:extLst>
              <c:ext xmlns:c16="http://schemas.microsoft.com/office/drawing/2014/chart" uri="{C3380CC4-5D6E-409C-BE32-E72D297353CC}">
                <c16:uniqueId val="{0000000D-8BEB-47F7-AE07-446306869E98}"/>
              </c:ext>
            </c:extLst>
          </c:dPt>
          <c:dPt>
            <c:idx val="5"/>
            <c:bubble3D val="0"/>
            <c:extLst>
              <c:ext xmlns:c16="http://schemas.microsoft.com/office/drawing/2014/chart" uri="{C3380CC4-5D6E-409C-BE32-E72D297353CC}">
                <c16:uniqueId val="{0000000E-8BEB-47F7-AE07-446306869E98}"/>
              </c:ext>
            </c:extLst>
          </c:dPt>
          <c:dPt>
            <c:idx val="6"/>
            <c:bubble3D val="0"/>
            <c:extLst>
              <c:ext xmlns:c16="http://schemas.microsoft.com/office/drawing/2014/chart" uri="{C3380CC4-5D6E-409C-BE32-E72D297353CC}">
                <c16:uniqueId val="{0000000F-8BEB-47F7-AE07-446306869E98}"/>
              </c:ext>
            </c:extLst>
          </c:dPt>
          <c:dPt>
            <c:idx val="7"/>
            <c:bubble3D val="0"/>
            <c:extLst>
              <c:ext xmlns:c16="http://schemas.microsoft.com/office/drawing/2014/chart" uri="{C3380CC4-5D6E-409C-BE32-E72D297353CC}">
                <c16:uniqueId val="{00000010-8BEB-47F7-AE07-446306869E98}"/>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8"/>
              <c:pt idx="0">
                <c:v>Canola</c:v>
              </c:pt>
              <c:pt idx="1">
                <c:v>Wheat - Hard Red Spring</c:v>
              </c:pt>
              <c:pt idx="2">
                <c:v>Soybeans</c:v>
              </c:pt>
              <c:pt idx="3">
                <c:v>Barley</c:v>
              </c:pt>
              <c:pt idx="4">
                <c:v>Oats</c:v>
              </c:pt>
              <c:pt idx="5">
                <c:v>Wheat - Winter</c:v>
              </c:pt>
              <c:pt idx="6">
                <c:v>Corn</c:v>
              </c:pt>
              <c:pt idx="7">
                <c:v>Other</c:v>
              </c:pt>
            </c:strLit>
          </c:cat>
          <c:val>
            <c:numLit>
              <c:formatCode>General</c:formatCode>
              <c:ptCount val="8"/>
              <c:pt idx="0">
                <c:v>3108464</c:v>
              </c:pt>
              <c:pt idx="1">
                <c:v>2084768</c:v>
              </c:pt>
              <c:pt idx="2">
                <c:v>2262474</c:v>
              </c:pt>
              <c:pt idx="3">
                <c:v>246696</c:v>
              </c:pt>
              <c:pt idx="4">
                <c:v>451027</c:v>
              </c:pt>
              <c:pt idx="5">
                <c:v>133596</c:v>
              </c:pt>
              <c:pt idx="6">
                <c:v>395526</c:v>
              </c:pt>
              <c:pt idx="7">
                <c:v>681361</c:v>
              </c:pt>
            </c:numLit>
          </c:val>
          <c:extLst>
            <c:ext xmlns:c16="http://schemas.microsoft.com/office/drawing/2014/chart" uri="{C3380CC4-5D6E-409C-BE32-E72D297353CC}">
              <c16:uniqueId val="{00000011-8BEB-47F7-AE07-446306869E98}"/>
            </c:ext>
          </c:extLst>
        </c:ser>
        <c:dLbls>
          <c:showLegendKey val="0"/>
          <c:showVal val="0"/>
          <c:showCatName val="0"/>
          <c:showSerName val="0"/>
          <c:showPercent val="0"/>
          <c:showBubbleSize val="0"/>
          <c:showLeaderLines val="1"/>
        </c:dLbls>
        <c:firstSliceAng val="141"/>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orientation="portrait"/>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CA"/>
              <a:t>Average Urea Nitrogen Prices</a:t>
            </a:r>
          </a:p>
        </c:rich>
      </c:tx>
      <c:layout>
        <c:manualLayout>
          <c:xMode val="edge"/>
          <c:yMode val="edge"/>
          <c:x val="0.18638097807867474"/>
          <c:y val="2.9932008041956365E-2"/>
        </c:manualLayout>
      </c:layout>
      <c:overlay val="0"/>
      <c:spPr>
        <a:ln w="22225">
          <a:noFill/>
        </a:ln>
      </c:spPr>
    </c:title>
    <c:autoTitleDeleted val="0"/>
    <c:plotArea>
      <c:layout>
        <c:manualLayout>
          <c:layoutTarget val="inner"/>
          <c:xMode val="edge"/>
          <c:yMode val="edge"/>
          <c:x val="0.14464600152828996"/>
          <c:y val="0.12765892713244997"/>
          <c:w val="0.82119095872509607"/>
          <c:h val="0.67528032525346082"/>
        </c:manualLayout>
      </c:layout>
      <c:barChart>
        <c:barDir val="col"/>
        <c:grouping val="clustered"/>
        <c:varyColors val="0"/>
        <c:ser>
          <c:idx val="0"/>
          <c:order val="0"/>
          <c:tx>
            <c:v>Previous Fall </c:v>
          </c:tx>
          <c:spPr>
            <a:solidFill>
              <a:schemeClr val="accent2"/>
            </a:solidFill>
            <a:ln>
              <a:solidFill>
                <a:schemeClr val="tx1"/>
              </a:solidFill>
            </a:ln>
          </c:spPr>
          <c:invertIfNegative val="0"/>
          <c:trendline>
            <c:name>Previous Fall Trend</c:name>
            <c:spPr>
              <a:ln w="19050">
                <a:solidFill>
                  <a:schemeClr val="tx1">
                    <a:lumMod val="95000"/>
                    <a:lumOff val="5000"/>
                  </a:schemeClr>
                </a:solidFill>
                <a:prstDash val="lgDash"/>
              </a:ln>
            </c:spPr>
            <c:trendlineType val="power"/>
            <c:dispRSqr val="0"/>
            <c:dispEq val="0"/>
          </c:trendline>
          <c:cat>
            <c:numLit>
              <c:formatCode>General</c:formatCode>
              <c:ptCount val="5"/>
              <c:pt idx="0">
                <c:v>2014</c:v>
              </c:pt>
              <c:pt idx="1">
                <c:v>2015</c:v>
              </c:pt>
              <c:pt idx="2">
                <c:v>2016</c:v>
              </c:pt>
              <c:pt idx="3">
                <c:v>2017</c:v>
              </c:pt>
              <c:pt idx="4">
                <c:v>2018</c:v>
              </c:pt>
            </c:numLit>
          </c:cat>
          <c:val>
            <c:numLit>
              <c:formatCode>General</c:formatCode>
              <c:ptCount val="5"/>
              <c:pt idx="0">
                <c:v>479</c:v>
              </c:pt>
              <c:pt idx="1">
                <c:v>526</c:v>
              </c:pt>
              <c:pt idx="2">
                <c:v>536</c:v>
              </c:pt>
              <c:pt idx="3">
                <c:v>399</c:v>
              </c:pt>
              <c:pt idx="4">
                <c:v>420</c:v>
              </c:pt>
            </c:numLit>
          </c:val>
          <c:extLst>
            <c:ext xmlns:c16="http://schemas.microsoft.com/office/drawing/2014/chart" uri="{C3380CC4-5D6E-409C-BE32-E72D297353CC}">
              <c16:uniqueId val="{00000000-7077-4BA7-9B75-E2A993FAF810}"/>
            </c:ext>
          </c:extLst>
        </c:ser>
        <c:ser>
          <c:idx val="2"/>
          <c:order val="1"/>
          <c:tx>
            <c:v>Spring</c:v>
          </c:tx>
          <c:spPr>
            <a:solidFill>
              <a:schemeClr val="accent1"/>
            </a:solidFill>
            <a:ln>
              <a:solidFill>
                <a:schemeClr val="tx1"/>
              </a:solidFill>
            </a:ln>
          </c:spPr>
          <c:invertIfNegative val="0"/>
          <c:trendline>
            <c:name>Spring Trend</c:name>
            <c:spPr>
              <a:ln w="19050">
                <a:solidFill>
                  <a:schemeClr val="tx1">
                    <a:lumMod val="85000"/>
                    <a:lumOff val="15000"/>
                  </a:schemeClr>
                </a:solidFill>
              </a:ln>
            </c:spPr>
            <c:trendlineType val="power"/>
            <c:dispRSqr val="0"/>
            <c:dispEq val="0"/>
          </c:trendline>
          <c:cat>
            <c:numLit>
              <c:formatCode>General</c:formatCode>
              <c:ptCount val="5"/>
              <c:pt idx="0">
                <c:v>2014</c:v>
              </c:pt>
              <c:pt idx="1">
                <c:v>2015</c:v>
              </c:pt>
              <c:pt idx="2">
                <c:v>2016</c:v>
              </c:pt>
              <c:pt idx="3">
                <c:v>2017</c:v>
              </c:pt>
              <c:pt idx="4">
                <c:v>2018</c:v>
              </c:pt>
            </c:numLit>
          </c:cat>
          <c:val>
            <c:numLit>
              <c:formatCode>General</c:formatCode>
              <c:ptCount val="5"/>
              <c:pt idx="0">
                <c:v>727</c:v>
              </c:pt>
              <c:pt idx="1">
                <c:v>669</c:v>
              </c:pt>
              <c:pt idx="2">
                <c:v>562</c:v>
              </c:pt>
              <c:pt idx="3">
                <c:v>518</c:v>
              </c:pt>
            </c:numLit>
          </c:val>
          <c:extLst>
            <c:ext xmlns:c16="http://schemas.microsoft.com/office/drawing/2014/chart" uri="{C3380CC4-5D6E-409C-BE32-E72D297353CC}">
              <c16:uniqueId val="{00000001-7077-4BA7-9B75-E2A993FAF810}"/>
            </c:ext>
          </c:extLst>
        </c:ser>
        <c:dLbls>
          <c:showLegendKey val="0"/>
          <c:showVal val="0"/>
          <c:showCatName val="0"/>
          <c:showSerName val="0"/>
          <c:showPercent val="0"/>
          <c:showBubbleSize val="0"/>
        </c:dLbls>
        <c:gapWidth val="150"/>
        <c:axId val="464871824"/>
        <c:axId val="1"/>
      </c:barChart>
      <c:catAx>
        <c:axId val="46487182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Price ($/MT)</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871824"/>
        <c:crosses val="autoZero"/>
        <c:crossBetween val="between"/>
      </c:valAx>
      <c:spPr>
        <a:solidFill>
          <a:schemeClr val="bg1">
            <a:lumMod val="85000"/>
          </a:schemeClr>
        </a:solidFill>
        <a:ln w="25400">
          <a:noFill/>
        </a:ln>
      </c:spPr>
    </c:plotArea>
    <c:legend>
      <c:legendPos val="r"/>
      <c:layout>
        <c:manualLayout>
          <c:xMode val="edge"/>
          <c:yMode val="edge"/>
          <c:x val="2.4922118380062305E-2"/>
          <c:y val="0.87245917843450549"/>
          <c:w val="0.93925380822724258"/>
          <c:h val="7.763405259900102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44" l="0.70000000000000062" r="0.70000000000000062" t="0.75000000000000244" header="0.30000000000000032" footer="0.30000000000000032"/>
    <c:pageSetup orientation="portrait"/>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CA"/>
              <a:t>Average 11-52-0 Phosphate Prices</a:t>
            </a:r>
          </a:p>
        </c:rich>
      </c:tx>
      <c:overlay val="0"/>
    </c:title>
    <c:autoTitleDeleted val="0"/>
    <c:plotArea>
      <c:layout>
        <c:manualLayout>
          <c:layoutTarget val="inner"/>
          <c:xMode val="edge"/>
          <c:yMode val="edge"/>
          <c:x val="0.1582325632868504"/>
          <c:y val="0.11065761750195427"/>
          <c:w val="0.81375979265121123"/>
          <c:h val="0.69681239549198359"/>
        </c:manualLayout>
      </c:layout>
      <c:barChart>
        <c:barDir val="col"/>
        <c:grouping val="clustered"/>
        <c:varyColors val="0"/>
        <c:ser>
          <c:idx val="0"/>
          <c:order val="0"/>
          <c:tx>
            <c:v>Previous Fall</c:v>
          </c:tx>
          <c:spPr>
            <a:solidFill>
              <a:schemeClr val="accent2"/>
            </a:solidFill>
            <a:ln>
              <a:solidFill>
                <a:schemeClr val="tx1"/>
              </a:solidFill>
            </a:ln>
          </c:spPr>
          <c:invertIfNegative val="0"/>
          <c:trendline>
            <c:name>Previous Fall Trend</c:name>
            <c:spPr>
              <a:ln w="19050">
                <a:solidFill>
                  <a:schemeClr val="tx1">
                    <a:lumMod val="95000"/>
                    <a:lumOff val="5000"/>
                  </a:schemeClr>
                </a:solidFill>
                <a:prstDash val="lgDash"/>
              </a:ln>
            </c:spPr>
            <c:trendlineType val="power"/>
            <c:dispRSqr val="0"/>
            <c:dispEq val="0"/>
          </c:trendline>
          <c:cat>
            <c:numLit>
              <c:formatCode>General</c:formatCode>
              <c:ptCount val="5"/>
              <c:pt idx="0">
                <c:v>2014</c:v>
              </c:pt>
              <c:pt idx="1">
                <c:v>2015</c:v>
              </c:pt>
              <c:pt idx="2">
                <c:v>2016</c:v>
              </c:pt>
              <c:pt idx="3">
                <c:v>2017</c:v>
              </c:pt>
              <c:pt idx="4">
                <c:v>2018</c:v>
              </c:pt>
            </c:numLit>
          </c:cat>
          <c:val>
            <c:numLit>
              <c:formatCode>General</c:formatCode>
              <c:ptCount val="5"/>
              <c:pt idx="0">
                <c:v>629</c:v>
              </c:pt>
              <c:pt idx="1">
                <c:v>718</c:v>
              </c:pt>
              <c:pt idx="2">
                <c:v>779</c:v>
              </c:pt>
              <c:pt idx="3">
                <c:v>604</c:v>
              </c:pt>
              <c:pt idx="4">
                <c:v>614</c:v>
              </c:pt>
            </c:numLit>
          </c:val>
          <c:extLst>
            <c:ext xmlns:c16="http://schemas.microsoft.com/office/drawing/2014/chart" uri="{C3380CC4-5D6E-409C-BE32-E72D297353CC}">
              <c16:uniqueId val="{00000000-086D-4077-A4CD-6A52A73A3F64}"/>
            </c:ext>
          </c:extLst>
        </c:ser>
        <c:ser>
          <c:idx val="2"/>
          <c:order val="1"/>
          <c:tx>
            <c:v>Spring</c:v>
          </c:tx>
          <c:spPr>
            <a:solidFill>
              <a:schemeClr val="accent1"/>
            </a:solidFill>
            <a:ln>
              <a:solidFill>
                <a:schemeClr val="tx1"/>
              </a:solidFill>
            </a:ln>
          </c:spPr>
          <c:invertIfNegative val="0"/>
          <c:trendline>
            <c:name>Spring Trend</c:name>
            <c:spPr>
              <a:ln w="19050">
                <a:solidFill>
                  <a:schemeClr val="tx1"/>
                </a:solidFill>
              </a:ln>
            </c:spPr>
            <c:trendlineType val="power"/>
            <c:dispRSqr val="0"/>
            <c:dispEq val="0"/>
          </c:trendline>
          <c:cat>
            <c:numLit>
              <c:formatCode>General</c:formatCode>
              <c:ptCount val="5"/>
              <c:pt idx="0">
                <c:v>2014</c:v>
              </c:pt>
              <c:pt idx="1">
                <c:v>2015</c:v>
              </c:pt>
              <c:pt idx="2">
                <c:v>2016</c:v>
              </c:pt>
              <c:pt idx="3">
                <c:v>2017</c:v>
              </c:pt>
              <c:pt idx="4">
                <c:v>2018</c:v>
              </c:pt>
            </c:numLit>
          </c:cat>
          <c:val>
            <c:numLit>
              <c:formatCode>General</c:formatCode>
              <c:ptCount val="5"/>
              <c:pt idx="0">
                <c:v>761</c:v>
              </c:pt>
              <c:pt idx="1">
                <c:v>845</c:v>
              </c:pt>
              <c:pt idx="2">
                <c:v>791</c:v>
              </c:pt>
              <c:pt idx="3">
                <c:v>648</c:v>
              </c:pt>
            </c:numLit>
          </c:val>
          <c:extLst>
            <c:ext xmlns:c16="http://schemas.microsoft.com/office/drawing/2014/chart" uri="{C3380CC4-5D6E-409C-BE32-E72D297353CC}">
              <c16:uniqueId val="{00000001-086D-4077-A4CD-6A52A73A3F64}"/>
            </c:ext>
          </c:extLst>
        </c:ser>
        <c:dLbls>
          <c:showLegendKey val="0"/>
          <c:showVal val="0"/>
          <c:showCatName val="0"/>
          <c:showSerName val="0"/>
          <c:showPercent val="0"/>
          <c:showBubbleSize val="0"/>
        </c:dLbls>
        <c:gapWidth val="150"/>
        <c:axId val="464874448"/>
        <c:axId val="1"/>
      </c:barChart>
      <c:catAx>
        <c:axId val="4648744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Price ($/MT)</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874448"/>
        <c:crosses val="autoZero"/>
        <c:crossBetween val="between"/>
      </c:valAx>
      <c:spPr>
        <a:solidFill>
          <a:schemeClr val="bg1">
            <a:lumMod val="85000"/>
          </a:schemeClr>
        </a:solidFill>
      </c:spPr>
    </c:plotArea>
    <c:legend>
      <c:legendPos val="r"/>
      <c:layout>
        <c:manualLayout>
          <c:xMode val="edge"/>
          <c:yMode val="edge"/>
          <c:x val="5.0000041074677877E-2"/>
          <c:y val="0.88311685809915963"/>
          <c:w val="0.89218817131426653"/>
          <c:h val="6.307977557851141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44" l="0.70000000000000062" r="0.70000000000000062" t="0.75000000000000244" header="0.30000000000000032" footer="0.30000000000000032"/>
    <c:pageSetup orientation="portrait"/>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(HIDE)'!$CF$27</c:f>
          <c:strCache>
            <c:ptCount val="1"/>
            <c:pt idx="0">
              <c:v>Manitoba - Monetizing Risk &amp; Reward ($/unit) - 2018</c:v>
            </c:pt>
          </c:strCache>
        </c:strRef>
      </c:tx>
      <c:overlay val="0"/>
      <c:txPr>
        <a:bodyPr/>
        <a:lstStyle/>
        <a:p>
          <a:pPr>
            <a:defRPr sz="1800" b="1" i="0" u="none" strike="noStrike" baseline="0">
              <a:solidFill>
                <a:srgbClr val="0080C0"/>
              </a:solidFill>
              <a:latin typeface="Calibri"/>
              <a:ea typeface="Calibri"/>
              <a:cs typeface="Calibri"/>
            </a:defRPr>
          </a:pPr>
          <a:endParaRPr lang="en-US"/>
        </a:p>
      </c:txPr>
    </c:title>
    <c:autoTitleDeleted val="0"/>
    <c:plotArea>
      <c:layout/>
      <c:barChart>
        <c:barDir val="col"/>
        <c:grouping val="stacked"/>
        <c:varyColors val="0"/>
        <c:ser>
          <c:idx val="0"/>
          <c:order val="0"/>
          <c:tx>
            <c:strRef>
              <c:f>'For PPT (HIDE)'!$CG$28</c:f>
              <c:strCache>
                <c:ptCount val="1"/>
                <c:pt idx="0">
                  <c:v>$/unit Covered By AgriInsurance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(HIDE)'!$CG$29:$CG$34</c:f>
              <c:numCache>
                <c:formatCode>"$"#,##0.00;\("$"#,##0.00\)</c:formatCode>
                <c:ptCount val="6"/>
                <c:pt idx="0">
                  <c:v>8.2606500000000018</c:v>
                </c:pt>
                <c:pt idx="1">
                  <c:v>4.9817963636363638</c:v>
                </c:pt>
                <c:pt idx="2">
                  <c:v>7.0662599999999998</c:v>
                </c:pt>
                <c:pt idx="3">
                  <c:v>3.0020712328767125</c:v>
                </c:pt>
                <c:pt idx="4">
                  <c:v>2.5009142857142859</c:v>
                </c:pt>
                <c:pt idx="5">
                  <c:v>2.4535148936170215</c:v>
                </c:pt>
              </c:numCache>
            </c:numRef>
          </c:val>
          <c:extLst>
            <c:ext xmlns:c16="http://schemas.microsoft.com/office/drawing/2014/chart" uri="{C3380CC4-5D6E-409C-BE32-E72D297353CC}">
              <c16:uniqueId val="{00000000-A20B-4E36-B5C0-17634ECD6916}"/>
            </c:ext>
          </c:extLst>
        </c:ser>
        <c:ser>
          <c:idx val="1"/>
          <c:order val="1"/>
          <c:tx>
            <c:strRef>
              <c:f>'For PPT (HIDE)'!$CH$28</c:f>
              <c:strCache>
                <c:ptCount val="1"/>
                <c:pt idx="0">
                  <c:v>$/unit  Exposed Risk</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(HIDE)'!$CH$29:$CH$34</c:f>
              <c:numCache>
                <c:formatCode>"$"#,##0.00;\("$"#,##0.00\)</c:formatCode>
                <c:ptCount val="6"/>
                <c:pt idx="0">
                  <c:v>1.9815990232095224</c:v>
                </c:pt>
                <c:pt idx="1">
                  <c:v>1.6786621392119274</c:v>
                </c:pt>
                <c:pt idx="2">
                  <c:v>2.1202282332153324</c:v>
                </c:pt>
                <c:pt idx="3">
                  <c:v>1.7614339368738205</c:v>
                </c:pt>
                <c:pt idx="4">
                  <c:v>0.65338958106927691</c:v>
                </c:pt>
                <c:pt idx="5">
                  <c:v>1.2689831788827406</c:v>
                </c:pt>
              </c:numCache>
            </c:numRef>
          </c:val>
          <c:extLst>
            <c:ext xmlns:c16="http://schemas.microsoft.com/office/drawing/2014/chart" uri="{C3380CC4-5D6E-409C-BE32-E72D297353CC}">
              <c16:uniqueId val="{00000001-A20B-4E36-B5C0-17634ECD6916}"/>
            </c:ext>
          </c:extLst>
        </c:ser>
        <c:ser>
          <c:idx val="2"/>
          <c:order val="2"/>
          <c:tx>
            <c:strRef>
              <c:f>'For PPT (HIDE)'!$CI$28</c:f>
              <c:strCache>
                <c:ptCount val="1"/>
                <c:pt idx="0">
                  <c:v>$/unit Reward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(HIDE)'!$CI$29:$CI$34</c:f>
              <c:numCache>
                <c:formatCode>"$"#,##0.00;\("$"#,##0.00\)</c:formatCode>
                <c:ptCount val="6"/>
                <c:pt idx="0">
                  <c:v>1.0077509767904758</c:v>
                </c:pt>
                <c:pt idx="1">
                  <c:v>0.18954149715170843</c:v>
                </c:pt>
                <c:pt idx="2">
                  <c:v>1.3135117667846679</c:v>
                </c:pt>
                <c:pt idx="3">
                  <c:v>-0.91350516975053297</c:v>
                </c:pt>
                <c:pt idx="4">
                  <c:v>9.5696133216437218E-2</c:v>
                </c:pt>
                <c:pt idx="5">
                  <c:v>0.27750192750023794</c:v>
                </c:pt>
              </c:numCache>
            </c:numRef>
          </c:val>
          <c:extLst>
            <c:ext xmlns:c16="http://schemas.microsoft.com/office/drawing/2014/chart" uri="{C3380CC4-5D6E-409C-BE32-E72D297353CC}">
              <c16:uniqueId val="{00000002-A20B-4E36-B5C0-17634ECD6916}"/>
            </c:ext>
          </c:extLst>
        </c:ser>
        <c:dLbls>
          <c:showLegendKey val="0"/>
          <c:showVal val="0"/>
          <c:showCatName val="0"/>
          <c:showSerName val="0"/>
          <c:showPercent val="0"/>
          <c:showBubbleSize val="0"/>
        </c:dLbls>
        <c:gapWidth val="75"/>
        <c:overlap val="100"/>
        <c:axId val="464875432"/>
        <c:axId val="1"/>
      </c:barChart>
      <c:catAx>
        <c:axId val="464875432"/>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464875432"/>
        <c:crosses val="autoZero"/>
        <c:crossBetween val="between"/>
      </c:valAx>
      <c:spPr>
        <a:solidFill>
          <a:schemeClr val="bg1">
            <a:lumMod val="85000"/>
          </a:schemeClr>
        </a:solidFill>
      </c:spPr>
    </c:plotArea>
    <c:legend>
      <c:legendPos val="b"/>
      <c:layout>
        <c:manualLayout>
          <c:xMode val="edge"/>
          <c:yMode val="edge"/>
          <c:x val="5.6980118864452291E-2"/>
          <c:y val="0.93023345765989784"/>
          <c:w val="0.8846165565511207"/>
          <c:h val="5.3667265276051035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(HIDE)'!$CF$27</c:f>
          <c:strCache>
            <c:ptCount val="1"/>
            <c:pt idx="0">
              <c:v>Manitoba - Monetizing Risk &amp; Reward ($/unit) - 2018</c:v>
            </c:pt>
          </c:strCache>
        </c:strRef>
      </c:tx>
      <c:overlay val="0"/>
      <c:txPr>
        <a:bodyPr/>
        <a:lstStyle/>
        <a:p>
          <a:pPr>
            <a:defRPr sz="1800" b="1" i="0" u="none" strike="noStrike" baseline="0">
              <a:solidFill>
                <a:srgbClr val="0080C0"/>
              </a:solidFill>
              <a:latin typeface="Calibri"/>
              <a:ea typeface="Calibri"/>
              <a:cs typeface="Calibri"/>
            </a:defRPr>
          </a:pPr>
          <a:endParaRPr lang="en-US"/>
        </a:p>
      </c:txPr>
    </c:title>
    <c:autoTitleDeleted val="0"/>
    <c:plotArea>
      <c:layout/>
      <c:barChart>
        <c:barDir val="col"/>
        <c:grouping val="stacked"/>
        <c:varyColors val="0"/>
        <c:ser>
          <c:idx val="0"/>
          <c:order val="0"/>
          <c:tx>
            <c:strRef>
              <c:f>'For PPT (HIDE)'!$CG$28</c:f>
              <c:strCache>
                <c:ptCount val="1"/>
                <c:pt idx="0">
                  <c:v>$/unit Covered By AgriInsurance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(HIDE)'!$CJ$29:$CJ$34</c:f>
              <c:numCache>
                <c:formatCode>"$"#,##0.00;\("$"#,##0.00\)</c:formatCode>
                <c:ptCount val="6"/>
                <c:pt idx="0">
                  <c:v>8.2606500000000018</c:v>
                </c:pt>
                <c:pt idx="1">
                  <c:v>0</c:v>
                </c:pt>
                <c:pt idx="2">
                  <c:v>0</c:v>
                </c:pt>
                <c:pt idx="3">
                  <c:v>0</c:v>
                </c:pt>
                <c:pt idx="4">
                  <c:v>0</c:v>
                </c:pt>
                <c:pt idx="5">
                  <c:v>0</c:v>
                </c:pt>
              </c:numCache>
            </c:numRef>
          </c:val>
          <c:extLst>
            <c:ext xmlns:c16="http://schemas.microsoft.com/office/drawing/2014/chart" uri="{C3380CC4-5D6E-409C-BE32-E72D297353CC}">
              <c16:uniqueId val="{00000000-D1DF-4B85-B45A-69EAD5A8441D}"/>
            </c:ext>
          </c:extLst>
        </c:ser>
        <c:ser>
          <c:idx val="1"/>
          <c:order val="1"/>
          <c:tx>
            <c:strRef>
              <c:f>'For PPT (HIDE)'!$CH$28</c:f>
              <c:strCache>
                <c:ptCount val="1"/>
                <c:pt idx="0">
                  <c:v>$/unit  Exposed Risk</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(HIDE)'!$CK$29:$CK$34</c:f>
              <c:numCache>
                <c:formatCode>General</c:formatCode>
                <c:ptCount val="6"/>
                <c:pt idx="0" formatCode="&quot;$&quot;#,##0.00;\(&quot;$&quot;#,##0.00\)">
                  <c:v>1.9815990232095224</c:v>
                </c:pt>
              </c:numCache>
            </c:numRef>
          </c:val>
          <c:extLst>
            <c:ext xmlns:c16="http://schemas.microsoft.com/office/drawing/2014/chart" uri="{C3380CC4-5D6E-409C-BE32-E72D297353CC}">
              <c16:uniqueId val="{00000001-D1DF-4B85-B45A-69EAD5A8441D}"/>
            </c:ext>
          </c:extLst>
        </c:ser>
        <c:ser>
          <c:idx val="2"/>
          <c:order val="2"/>
          <c:tx>
            <c:strRef>
              <c:f>'For PPT (HIDE)'!$CI$28</c:f>
              <c:strCache>
                <c:ptCount val="1"/>
                <c:pt idx="0">
                  <c:v>$/unit Reward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(HIDE)'!$CI$29</c:f>
              <c:numCache>
                <c:formatCode>"$"#,##0.00;\("$"#,##0.00\)</c:formatCode>
                <c:ptCount val="1"/>
                <c:pt idx="0">
                  <c:v>1.0077509767904758</c:v>
                </c:pt>
              </c:numCache>
            </c:numRef>
          </c:val>
          <c:extLst>
            <c:ext xmlns:c16="http://schemas.microsoft.com/office/drawing/2014/chart" uri="{C3380CC4-5D6E-409C-BE32-E72D297353CC}">
              <c16:uniqueId val="{00000002-D1DF-4B85-B45A-69EAD5A8441D}"/>
            </c:ext>
          </c:extLst>
        </c:ser>
        <c:dLbls>
          <c:showLegendKey val="0"/>
          <c:showVal val="0"/>
          <c:showCatName val="0"/>
          <c:showSerName val="0"/>
          <c:showPercent val="0"/>
          <c:showBubbleSize val="0"/>
        </c:dLbls>
        <c:gapWidth val="75"/>
        <c:overlap val="100"/>
        <c:axId val="464874120"/>
        <c:axId val="1"/>
      </c:barChart>
      <c:catAx>
        <c:axId val="464874120"/>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464874120"/>
        <c:crosses val="autoZero"/>
        <c:crossBetween val="between"/>
      </c:valAx>
      <c:spPr>
        <a:solidFill>
          <a:schemeClr val="bg1">
            <a:lumMod val="85000"/>
          </a:schemeClr>
        </a:solidFill>
      </c:spPr>
    </c:plotArea>
    <c:legend>
      <c:legendPos val="b"/>
      <c:layout>
        <c:manualLayout>
          <c:xMode val="edge"/>
          <c:yMode val="edge"/>
          <c:x val="5.6980118864452291E-2"/>
          <c:y val="0.93202219669817188"/>
          <c:w val="0.8846165565511207"/>
          <c:h val="5.3667298617549819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(HIDE)'!$A$3</c:f>
          <c:strCache>
            <c:ptCount val="1"/>
            <c:pt idx="0">
              <c:v>Manitoba Breakeven Yield Risk Ratio - 2022</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548198520639466"/>
          <c:y val="0.10162184534625479"/>
          <c:w val="0.83906346933905984"/>
          <c:h val="0.62132784300166077"/>
        </c:manualLayout>
      </c:layout>
      <c:barChart>
        <c:barDir val="col"/>
        <c:grouping val="clustered"/>
        <c:varyColors val="0"/>
        <c:ser>
          <c:idx val="0"/>
          <c:order val="0"/>
          <c:tx>
            <c:strRef>
              <c:f>'Chart data (HIDE)'!$L$6</c:f>
              <c:strCache>
                <c:ptCount val="1"/>
                <c:pt idx="0">
                  <c:v>Target Yield as % of B/E Yield</c:v>
                </c:pt>
              </c:strCache>
            </c:strRef>
          </c:tx>
          <c:spPr>
            <a:ln>
              <a:solidFill>
                <a:schemeClr val="tx1"/>
              </a:solidFill>
            </a:ln>
          </c:spPr>
          <c:invertIfNegative val="0"/>
          <c:dLbls>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(HIDE)'!$A$27:$A$30</c:f>
              <c:strCache>
                <c:ptCount val="4"/>
                <c:pt idx="0">
                  <c:v>Irrigated Potato - 325 Gross Yield per acre (cwt)</c:v>
                </c:pt>
                <c:pt idx="1">
                  <c:v>Irrigated Potato - 375 Gross Yield per acre (cwt)</c:v>
                </c:pt>
                <c:pt idx="2">
                  <c:v>Irrigated Potato - 425 Gross Yield per acre (cwt)</c:v>
                </c:pt>
                <c:pt idx="3">
                  <c:v>Irrigated Potato - 475 Gross Yield per acre (cwt)</c:v>
                </c:pt>
              </c:strCache>
            </c:strRef>
          </c:cat>
          <c:val>
            <c:numRef>
              <c:f>'Chart data (HIDE)'!$L$27:$L$30</c:f>
              <c:numCache>
                <c:formatCode>0%</c:formatCode>
                <c:ptCount val="4"/>
                <c:pt idx="0">
                  <c:v>0.7709370819414767</c:v>
                </c:pt>
                <c:pt idx="1">
                  <c:v>0.88954278685554999</c:v>
                </c:pt>
                <c:pt idx="2">
                  <c:v>1.0081484917696233</c:v>
                </c:pt>
                <c:pt idx="3">
                  <c:v>1.1267541966836967</c:v>
                </c:pt>
              </c:numCache>
            </c:numRef>
          </c:val>
          <c:extLst>
            <c:ext xmlns:c16="http://schemas.microsoft.com/office/drawing/2014/chart" uri="{C3380CC4-5D6E-409C-BE32-E72D297353CC}">
              <c16:uniqueId val="{00000000-EFED-4BF5-8E66-CD7EC255E163}"/>
            </c:ext>
          </c:extLst>
        </c:ser>
        <c:dLbls>
          <c:showLegendKey val="0"/>
          <c:showVal val="0"/>
          <c:showCatName val="0"/>
          <c:showSerName val="0"/>
          <c:showPercent val="0"/>
          <c:showBubbleSize val="0"/>
        </c:dLbls>
        <c:gapWidth val="75"/>
        <c:overlap val="-25"/>
        <c:axId val="225342960"/>
        <c:axId val="1"/>
      </c:barChart>
      <c:catAx>
        <c:axId val="225342960"/>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225342960"/>
        <c:crosses val="autoZero"/>
        <c:crossBetween val="between"/>
      </c:valAx>
      <c:spPr>
        <a:solidFill>
          <a:schemeClr val="bg1">
            <a:lumMod val="95000"/>
          </a:schemeClr>
        </a:solidFill>
      </c:spPr>
    </c:plotArea>
    <c:legend>
      <c:legendPos val="r"/>
      <c:layout>
        <c:manualLayout>
          <c:xMode val="edge"/>
          <c:yMode val="edge"/>
          <c:x val="0.30541237113402064"/>
          <c:y val="0.91616955066245465"/>
          <c:w val="0.36082474226804129"/>
          <c:h val="6.3872465043665949E-2"/>
        </c:manualLayout>
      </c:layout>
      <c:overlay val="0"/>
      <c:txPr>
        <a:bodyPr/>
        <a:lstStyle/>
        <a:p>
          <a:pPr>
            <a:defRPr sz="129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(HIDE)'!$CN$27</c:f>
          <c:strCache>
            <c:ptCount val="1"/>
            <c:pt idx="0">
              <c:v>Manitoba - 18% Land Rent Calculation - 2018</c:v>
            </c:pt>
          </c:strCache>
        </c:strRef>
      </c:tx>
      <c:overlay val="0"/>
      <c:spPr>
        <a:solidFill>
          <a:sysClr val="window" lastClr="FFFFFF"/>
        </a:solidFill>
      </c:spPr>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64897809079047464"/>
        </c:manualLayout>
      </c:layout>
      <c:barChart>
        <c:barDir val="col"/>
        <c:grouping val="stacked"/>
        <c:varyColors val="0"/>
        <c:ser>
          <c:idx val="2"/>
          <c:order val="0"/>
          <c:tx>
            <c:strRef>
              <c:f>'For PPT (HIDE)'!$CP$28</c:f>
              <c:strCache>
                <c:ptCount val="1"/>
                <c:pt idx="0">
                  <c:v>Rent = 18% Share</c:v>
                </c:pt>
              </c:strCache>
            </c:strRef>
          </c:tx>
          <c:spPr>
            <a:ln w="9525" cmpd="sng">
              <a:solidFill>
                <a:schemeClr val="tx1"/>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(HIDE)'!$CN$29:$CN$31</c:f>
              <c:strCache>
                <c:ptCount val="3"/>
                <c:pt idx="0">
                  <c:v>Canola</c:v>
                </c:pt>
                <c:pt idx="1">
                  <c:v>Wheat - Hard Red Spring</c:v>
                </c:pt>
                <c:pt idx="2">
                  <c:v>Soybeans</c:v>
                </c:pt>
              </c:strCache>
            </c:strRef>
          </c:cat>
          <c:val>
            <c:numRef>
              <c:f>'For PPT (HIDE)'!$CP$29:$CP$31</c:f>
              <c:numCache>
                <c:formatCode>"$"#,##0.00;\("$"#,##0.00\)</c:formatCode>
                <c:ptCount val="3"/>
                <c:pt idx="0">
                  <c:v>81</c:v>
                </c:pt>
                <c:pt idx="1">
                  <c:v>67.814999999999998</c:v>
                </c:pt>
                <c:pt idx="2">
                  <c:v>75.599999999999994</c:v>
                </c:pt>
              </c:numCache>
            </c:numRef>
          </c:val>
          <c:extLst>
            <c:ext xmlns:c16="http://schemas.microsoft.com/office/drawing/2014/chart" uri="{C3380CC4-5D6E-409C-BE32-E72D297353CC}">
              <c16:uniqueId val="{00000000-F53E-4BD0-B554-ED14029AB69A}"/>
            </c:ext>
          </c:extLst>
        </c:ser>
        <c:ser>
          <c:idx val="1"/>
          <c:order val="1"/>
          <c:tx>
            <c:strRef>
              <c:f>'For PPT (HIDE)'!$CQ$28</c:f>
              <c:strCache>
                <c:ptCount val="1"/>
                <c:pt idx="0">
                  <c:v>$/Ac Net Profit (@18% Share Rent)</c:v>
                </c:pt>
              </c:strCache>
            </c:strRef>
          </c:tx>
          <c:spPr>
            <a:ln>
              <a:solidFill>
                <a:schemeClr val="tx1"/>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(HIDE)'!$CN$29:$CN$31</c:f>
              <c:strCache>
                <c:ptCount val="3"/>
                <c:pt idx="0">
                  <c:v>Canola</c:v>
                </c:pt>
                <c:pt idx="1">
                  <c:v>Wheat - Hard Red Spring</c:v>
                </c:pt>
                <c:pt idx="2">
                  <c:v>Soybeans</c:v>
                </c:pt>
              </c:strCache>
            </c:strRef>
          </c:cat>
          <c:val>
            <c:numRef>
              <c:f>'For PPT (HIDE)'!$CQ$29:$CQ$31</c:f>
              <c:numCache>
                <c:formatCode>"$"#,##0.00;\("$"#,##0.00\)</c:formatCode>
                <c:ptCount val="3"/>
                <c:pt idx="0">
                  <c:v>23.990039071619037</c:v>
                </c:pt>
                <c:pt idx="1">
                  <c:v>7.2897823433440294</c:v>
                </c:pt>
                <c:pt idx="2">
                  <c:v>41.620470671386755</c:v>
                </c:pt>
              </c:numCache>
            </c:numRef>
          </c:val>
          <c:extLst>
            <c:ext xmlns:c16="http://schemas.microsoft.com/office/drawing/2014/chart" uri="{C3380CC4-5D6E-409C-BE32-E72D297353CC}">
              <c16:uniqueId val="{00000001-F53E-4BD0-B554-ED14029AB69A}"/>
            </c:ext>
          </c:extLst>
        </c:ser>
        <c:dLbls>
          <c:showLegendKey val="0"/>
          <c:showVal val="0"/>
          <c:showCatName val="0"/>
          <c:showSerName val="0"/>
          <c:showPercent val="0"/>
          <c:showBubbleSize val="0"/>
        </c:dLbls>
        <c:gapWidth val="150"/>
        <c:overlap val="100"/>
        <c:axId val="464877072"/>
        <c:axId val="1"/>
      </c:barChart>
      <c:catAx>
        <c:axId val="464877072"/>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layout>
            <c:manualLayout>
              <c:xMode val="edge"/>
              <c:yMode val="edge"/>
              <c:x val="1.587609945703352E-2"/>
              <c:y val="0.36914393700787401"/>
            </c:manualLayout>
          </c:layout>
          <c:overlay val="0"/>
        </c:title>
        <c:numFmt formatCode="&quot;$&quot;#,##0.00;\(&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877072"/>
        <c:crosses val="autoZero"/>
        <c:crossBetween val="between"/>
      </c:valAx>
      <c:spPr>
        <a:solidFill>
          <a:schemeClr val="bg1">
            <a:lumMod val="95000"/>
          </a:schemeClr>
        </a:solidFill>
      </c:spPr>
    </c:plotArea>
    <c:legend>
      <c:legendPos val="b"/>
      <c:layout>
        <c:manualLayout>
          <c:xMode val="edge"/>
          <c:yMode val="edge"/>
          <c:x val="1.0606078820300135E-2"/>
          <c:y val="0.88259107611548548"/>
          <c:w val="0.565152371220773"/>
          <c:h val="4.453438320209979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(HIDE)'!$CN$26</c:f>
          <c:strCache>
            <c:ptCount val="1"/>
            <c:pt idx="0">
              <c:v>Manitoba - Breakeven Land Rent Calculation - 2018</c:v>
            </c:pt>
          </c:strCache>
        </c:strRef>
      </c:tx>
      <c:overlay val="0"/>
      <c:spPr>
        <a:solidFill>
          <a:sysClr val="window" lastClr="FFFFFF"/>
        </a:solidFill>
      </c:spPr>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64897809079047464"/>
        </c:manualLayout>
      </c:layout>
      <c:barChart>
        <c:barDir val="col"/>
        <c:grouping val="clustered"/>
        <c:varyColors val="0"/>
        <c:ser>
          <c:idx val="0"/>
          <c:order val="0"/>
          <c:tx>
            <c:strRef>
              <c:f>'For PPT (HIDE)'!$CO$28</c:f>
              <c:strCache>
                <c:ptCount val="1"/>
                <c:pt idx="0">
                  <c:v>Maximum Available for Land Rent</c:v>
                </c:pt>
              </c:strCache>
            </c:strRef>
          </c:tx>
          <c:spPr>
            <a:solidFill>
              <a:schemeClr val="accent1"/>
            </a:solidFill>
            <a:ln>
              <a:solidFill>
                <a:schemeClr val="tx1"/>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(HIDE)'!$CN$29:$CN$32</c:f>
              <c:strCache>
                <c:ptCount val="4"/>
                <c:pt idx="0">
                  <c:v>Canola</c:v>
                </c:pt>
                <c:pt idx="1">
                  <c:v>Wheat - Hard Red Spring</c:v>
                </c:pt>
                <c:pt idx="2">
                  <c:v>Soybeans</c:v>
                </c:pt>
                <c:pt idx="3">
                  <c:v>Barley</c:v>
                </c:pt>
              </c:strCache>
            </c:strRef>
          </c:cat>
          <c:val>
            <c:numRef>
              <c:f>'For PPT (HIDE)'!$CO$29:$CO$31</c:f>
              <c:numCache>
                <c:formatCode>"$"#,##0.00;\("$"#,##0.00\)</c:formatCode>
                <c:ptCount val="3"/>
                <c:pt idx="0">
                  <c:v>104.99003907161904</c:v>
                </c:pt>
                <c:pt idx="1">
                  <c:v>75.104782343344027</c:v>
                </c:pt>
                <c:pt idx="2">
                  <c:v>117.22047067138675</c:v>
                </c:pt>
              </c:numCache>
            </c:numRef>
          </c:val>
          <c:extLst>
            <c:ext xmlns:c16="http://schemas.microsoft.com/office/drawing/2014/chart" uri="{C3380CC4-5D6E-409C-BE32-E72D297353CC}">
              <c16:uniqueId val="{00000000-E4A7-4828-9687-0668BD9771EB}"/>
            </c:ext>
          </c:extLst>
        </c:ser>
        <c:dLbls>
          <c:showLegendKey val="0"/>
          <c:showVal val="0"/>
          <c:showCatName val="0"/>
          <c:showSerName val="0"/>
          <c:showPercent val="0"/>
          <c:showBubbleSize val="0"/>
        </c:dLbls>
        <c:gapWidth val="150"/>
        <c:axId val="464878384"/>
        <c:axId val="1"/>
      </c:barChart>
      <c:catAx>
        <c:axId val="464878384"/>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 </a:t>
                </a:r>
              </a:p>
            </c:rich>
          </c:tx>
          <c:overlay val="0"/>
        </c:title>
        <c:numFmt formatCode="&quot;$&quot;#,##0.00;\(&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878384"/>
        <c:crosses val="autoZero"/>
        <c:crossBetween val="between"/>
      </c:valAx>
      <c:spPr>
        <a:solidFill>
          <a:schemeClr val="bg1">
            <a:lumMod val="95000"/>
          </a:schemeClr>
        </a:solidFill>
      </c:spPr>
    </c:plotArea>
    <c:legend>
      <c:legendPos val="r"/>
      <c:layout>
        <c:manualLayout>
          <c:xMode val="edge"/>
          <c:yMode val="edge"/>
          <c:x val="0.20564539188698974"/>
          <c:y val="0.86150716130423577"/>
          <c:w val="0.59677499662135725"/>
          <c:h val="9.3686375375422792E-2"/>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(HIDE)'!$CN$24</c:f>
          <c:strCache>
            <c:ptCount val="1"/>
            <c:pt idx="0">
              <c:v>Manitoba - 22% Land Rent Calculation - 2018</c:v>
            </c:pt>
          </c:strCache>
        </c:strRef>
      </c:tx>
      <c:overlay val="0"/>
      <c:spPr>
        <a:solidFill>
          <a:sysClr val="window" lastClr="FFFFFF"/>
        </a:solidFill>
      </c:spPr>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64897809079047464"/>
        </c:manualLayout>
      </c:layout>
      <c:barChart>
        <c:barDir val="col"/>
        <c:grouping val="stacked"/>
        <c:varyColors val="0"/>
        <c:ser>
          <c:idx val="2"/>
          <c:order val="0"/>
          <c:tx>
            <c:strRef>
              <c:f>'For PPT (HIDE)'!$CS$28</c:f>
              <c:strCache>
                <c:ptCount val="1"/>
                <c:pt idx="0">
                  <c:v>Rent = 22% Share</c:v>
                </c:pt>
              </c:strCache>
            </c:strRef>
          </c:tx>
          <c:spPr>
            <a:ln w="9525" cmpd="sng">
              <a:solidFill>
                <a:schemeClr val="tx1"/>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(HIDE)'!$CN$29:$CN$31</c:f>
              <c:strCache>
                <c:ptCount val="3"/>
                <c:pt idx="0">
                  <c:v>Canola</c:v>
                </c:pt>
                <c:pt idx="1">
                  <c:v>Wheat - Hard Red Spring</c:v>
                </c:pt>
                <c:pt idx="2">
                  <c:v>Soybeans</c:v>
                </c:pt>
              </c:strCache>
            </c:strRef>
          </c:cat>
          <c:val>
            <c:numRef>
              <c:f>'For PPT (HIDE)'!$CS$29:$CS$31</c:f>
              <c:numCache>
                <c:formatCode>"$"#,##0.00;\("$"#,##0.00\)</c:formatCode>
                <c:ptCount val="3"/>
                <c:pt idx="0">
                  <c:v>99</c:v>
                </c:pt>
                <c:pt idx="1">
                  <c:v>82.885000000000005</c:v>
                </c:pt>
                <c:pt idx="2">
                  <c:v>92.4</c:v>
                </c:pt>
              </c:numCache>
            </c:numRef>
          </c:val>
          <c:extLst>
            <c:ext xmlns:c16="http://schemas.microsoft.com/office/drawing/2014/chart" uri="{C3380CC4-5D6E-409C-BE32-E72D297353CC}">
              <c16:uniqueId val="{00000000-4AF9-4731-B40E-8367D601C31C}"/>
            </c:ext>
          </c:extLst>
        </c:ser>
        <c:ser>
          <c:idx val="1"/>
          <c:order val="1"/>
          <c:tx>
            <c:strRef>
              <c:f>'For PPT (HIDE)'!$CT$28</c:f>
              <c:strCache>
                <c:ptCount val="1"/>
                <c:pt idx="0">
                  <c:v>$/Ac Net Profit (@22% Share Rent)</c:v>
                </c:pt>
              </c:strCache>
            </c:strRef>
          </c:tx>
          <c:spPr>
            <a:ln>
              <a:solidFill>
                <a:schemeClr val="tx1"/>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(HIDE)'!$CN$29:$CN$31</c:f>
              <c:strCache>
                <c:ptCount val="3"/>
                <c:pt idx="0">
                  <c:v>Canola</c:v>
                </c:pt>
                <c:pt idx="1">
                  <c:v>Wheat - Hard Red Spring</c:v>
                </c:pt>
                <c:pt idx="2">
                  <c:v>Soybeans</c:v>
                </c:pt>
              </c:strCache>
            </c:strRef>
          </c:cat>
          <c:val>
            <c:numRef>
              <c:f>'For PPT (HIDE)'!$CT$29:$CT$31</c:f>
              <c:numCache>
                <c:formatCode>"$"#,##0.00;\("$"#,##0.00\)</c:formatCode>
                <c:ptCount val="3"/>
                <c:pt idx="0">
                  <c:v>5.9900390716190373</c:v>
                </c:pt>
                <c:pt idx="1">
                  <c:v>-7.780217656655978</c:v>
                </c:pt>
                <c:pt idx="2">
                  <c:v>24.820470671386744</c:v>
                </c:pt>
              </c:numCache>
            </c:numRef>
          </c:val>
          <c:extLst>
            <c:ext xmlns:c16="http://schemas.microsoft.com/office/drawing/2014/chart" uri="{C3380CC4-5D6E-409C-BE32-E72D297353CC}">
              <c16:uniqueId val="{00000001-4AF9-4731-B40E-8367D601C31C}"/>
            </c:ext>
          </c:extLst>
        </c:ser>
        <c:dLbls>
          <c:showLegendKey val="0"/>
          <c:showVal val="0"/>
          <c:showCatName val="0"/>
          <c:showSerName val="0"/>
          <c:showPercent val="0"/>
          <c:showBubbleSize val="0"/>
        </c:dLbls>
        <c:gapWidth val="150"/>
        <c:overlap val="100"/>
        <c:axId val="466004184"/>
        <c:axId val="1"/>
      </c:barChart>
      <c:catAx>
        <c:axId val="466004184"/>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layout>
            <c:manualLayout>
              <c:xMode val="edge"/>
              <c:yMode val="edge"/>
              <c:x val="1.587609945703352E-2"/>
              <c:y val="0.36914393700787401"/>
            </c:manualLayout>
          </c:layout>
          <c:overlay val="0"/>
        </c:title>
        <c:numFmt formatCode="&quot;$&quot;#,##0.00;\(&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6004184"/>
        <c:crosses val="autoZero"/>
        <c:crossBetween val="between"/>
      </c:valAx>
      <c:spPr>
        <a:solidFill>
          <a:schemeClr val="bg1">
            <a:lumMod val="95000"/>
          </a:schemeClr>
        </a:solidFill>
      </c:spPr>
    </c:plotArea>
    <c:legend>
      <c:legendPos val="b"/>
      <c:layout>
        <c:manualLayout>
          <c:xMode val="edge"/>
          <c:yMode val="edge"/>
          <c:x val="1.3636432850473845E-2"/>
          <c:y val="0.88259107611548548"/>
          <c:w val="0.88636492957464286"/>
          <c:h val="4.453438320209979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'For PPT (HIDE)'!$CN$25</c:f>
          <c:strCache>
            <c:ptCount val="1"/>
            <c:pt idx="0">
              <c:v>Manitoba - Average Land Rent Calculation - 2018</c:v>
            </c:pt>
          </c:strCache>
        </c:strRef>
      </c:tx>
      <c:overlay val="0"/>
      <c:spPr>
        <a:solidFill>
          <a:sysClr val="window" lastClr="FFFFFF"/>
        </a:solidFill>
      </c:spPr>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64897809079047464"/>
        </c:manualLayout>
      </c:layout>
      <c:barChart>
        <c:barDir val="col"/>
        <c:grouping val="clustered"/>
        <c:varyColors val="0"/>
        <c:ser>
          <c:idx val="0"/>
          <c:order val="0"/>
          <c:tx>
            <c:strRef>
              <c:f>'For PPT (HIDE)'!$CO$28</c:f>
              <c:strCache>
                <c:ptCount val="1"/>
                <c:pt idx="0">
                  <c:v>Maximum Available for Land Rent</c:v>
                </c:pt>
              </c:strCache>
            </c:strRef>
          </c:tx>
          <c:spPr>
            <a:solidFill>
              <a:schemeClr val="accent1"/>
            </a:solidFill>
            <a:ln>
              <a:solidFill>
                <a:schemeClr val="tx1"/>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(HIDE)'!$CN$29:$CN$32</c:f>
              <c:strCache>
                <c:ptCount val="4"/>
                <c:pt idx="0">
                  <c:v>Canola</c:v>
                </c:pt>
                <c:pt idx="1">
                  <c:v>Wheat - Hard Red Spring</c:v>
                </c:pt>
                <c:pt idx="2">
                  <c:v>Soybeans</c:v>
                </c:pt>
                <c:pt idx="3">
                  <c:v>Barley</c:v>
                </c:pt>
              </c:strCache>
            </c:strRef>
          </c:cat>
          <c:val>
            <c:numRef>
              <c:f>'For PPT (HIDE)'!$CO$29:$CO$31</c:f>
              <c:numCache>
                <c:formatCode>"$"#,##0.00;\("$"#,##0.00\)</c:formatCode>
                <c:ptCount val="3"/>
                <c:pt idx="0">
                  <c:v>104.99003907161904</c:v>
                </c:pt>
                <c:pt idx="1">
                  <c:v>75.104782343344027</c:v>
                </c:pt>
                <c:pt idx="2">
                  <c:v>117.22047067138675</c:v>
                </c:pt>
              </c:numCache>
            </c:numRef>
          </c:val>
          <c:extLst>
            <c:ext xmlns:c16="http://schemas.microsoft.com/office/drawing/2014/chart" uri="{C3380CC4-5D6E-409C-BE32-E72D297353CC}">
              <c16:uniqueId val="{00000000-CB9E-42E3-8B04-F11F023F359D}"/>
            </c:ext>
          </c:extLst>
        </c:ser>
        <c:dLbls>
          <c:showLegendKey val="0"/>
          <c:showVal val="0"/>
          <c:showCatName val="0"/>
          <c:showSerName val="0"/>
          <c:showPercent val="0"/>
          <c:showBubbleSize val="0"/>
        </c:dLbls>
        <c:gapWidth val="150"/>
        <c:axId val="466005168"/>
        <c:axId val="1"/>
      </c:barChart>
      <c:lineChart>
        <c:grouping val="standard"/>
        <c:varyColors val="0"/>
        <c:ser>
          <c:idx val="1"/>
          <c:order val="1"/>
          <c:tx>
            <c:strRef>
              <c:f>'For PPT (HIDE)'!$CV$28</c:f>
              <c:strCache>
                <c:ptCount val="1"/>
                <c:pt idx="0">
                  <c:v>Avg. Max Available for Land Rent</c:v>
                </c:pt>
              </c:strCache>
            </c:strRef>
          </c:tx>
          <c:marker>
            <c:symbol val="none"/>
          </c:marker>
          <c:dLbls>
            <c:dLbl>
              <c:idx val="0"/>
              <c:layout>
                <c:manualLayout>
                  <c:x val="-6.2983678866739737E-2"/>
                  <c:y val="-1.0697229859674666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9E-42E3-8B04-F11F023F35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'For PPT (HIDE)'!$CV$29:$CV$31</c:f>
              <c:numCache>
                <c:formatCode>"$"#,##0.00;\("$"#,##0.00\)</c:formatCode>
                <c:ptCount val="3"/>
                <c:pt idx="0">
                  <c:v>99.105097362116609</c:v>
                </c:pt>
                <c:pt idx="1">
                  <c:v>99.105097362116609</c:v>
                </c:pt>
                <c:pt idx="2">
                  <c:v>99.105097362116609</c:v>
                </c:pt>
              </c:numCache>
            </c:numRef>
          </c:val>
          <c:smooth val="0"/>
          <c:extLst>
            <c:ext xmlns:c16="http://schemas.microsoft.com/office/drawing/2014/chart" uri="{C3380CC4-5D6E-409C-BE32-E72D297353CC}">
              <c16:uniqueId val="{00000002-CB9E-42E3-8B04-F11F023F359D}"/>
            </c:ext>
          </c:extLst>
        </c:ser>
        <c:ser>
          <c:idx val="2"/>
          <c:order val="2"/>
          <c:tx>
            <c:strRef>
              <c:f>'For PPT (HIDE)'!$CW$28</c:f>
              <c:strCache>
                <c:ptCount val="1"/>
                <c:pt idx="0">
                  <c:v>Avg. Rent = 18% Share</c:v>
                </c:pt>
              </c:strCache>
            </c:strRef>
          </c:tx>
          <c:spPr>
            <a:ln>
              <a:solidFill>
                <a:srgbClr val="00B050"/>
              </a:solidFill>
            </a:ln>
          </c:spPr>
          <c:marker>
            <c:symbol val="none"/>
          </c:marker>
          <c:dLbls>
            <c:dLbl>
              <c:idx val="0"/>
              <c:layout>
                <c:manualLayout>
                  <c:x val="-6.1177693204559444E-2"/>
                  <c:y val="1.069722985967461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9E-42E3-8B04-F11F023F35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'For PPT (HIDE)'!$CW$29:$CW$31</c:f>
              <c:numCache>
                <c:formatCode>"$"#,##0.00;\("$"#,##0.00\)</c:formatCode>
                <c:ptCount val="3"/>
                <c:pt idx="0">
                  <c:v>74.804999999999993</c:v>
                </c:pt>
                <c:pt idx="1">
                  <c:v>74.804999999999993</c:v>
                </c:pt>
                <c:pt idx="2">
                  <c:v>74.804999999999993</c:v>
                </c:pt>
              </c:numCache>
            </c:numRef>
          </c:val>
          <c:smooth val="0"/>
          <c:extLst>
            <c:ext xmlns:c16="http://schemas.microsoft.com/office/drawing/2014/chart" uri="{C3380CC4-5D6E-409C-BE32-E72D297353CC}">
              <c16:uniqueId val="{00000004-CB9E-42E3-8B04-F11F023F359D}"/>
            </c:ext>
          </c:extLst>
        </c:ser>
        <c:ser>
          <c:idx val="3"/>
          <c:order val="3"/>
          <c:tx>
            <c:strRef>
              <c:f>'For PPT (HIDE)'!$CZ$28</c:f>
              <c:strCache>
                <c:ptCount val="1"/>
                <c:pt idx="0">
                  <c:v>Avg. Rent = 22% Share</c:v>
                </c:pt>
              </c:strCache>
            </c:strRef>
          </c:tx>
          <c:spPr>
            <a:ln>
              <a:solidFill>
                <a:schemeClr val="tx1"/>
              </a:solidFill>
            </a:ln>
          </c:spPr>
          <c:marker>
            <c:symbol val="none"/>
          </c:marker>
          <c:dLbls>
            <c:dLbl>
              <c:idx val="0"/>
              <c:layout>
                <c:manualLayout>
                  <c:x val="-6.2983678866739737E-2"/>
                  <c:y val="1.3371537324593331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9E-42E3-8B04-F11F023F35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'For PPT (HIDE)'!$CZ$29:$CZ$31</c:f>
              <c:numCache>
                <c:formatCode>"$"#,##0.00;\("$"#,##0.00\)</c:formatCode>
                <c:ptCount val="3"/>
                <c:pt idx="0">
                  <c:v>91.428333333333327</c:v>
                </c:pt>
                <c:pt idx="1">
                  <c:v>91.428333333333327</c:v>
                </c:pt>
                <c:pt idx="2">
                  <c:v>91.428333333333327</c:v>
                </c:pt>
              </c:numCache>
            </c:numRef>
          </c:val>
          <c:smooth val="0"/>
          <c:extLst>
            <c:ext xmlns:c16="http://schemas.microsoft.com/office/drawing/2014/chart" uri="{C3380CC4-5D6E-409C-BE32-E72D297353CC}">
              <c16:uniqueId val="{00000006-CB9E-42E3-8B04-F11F023F359D}"/>
            </c:ext>
          </c:extLst>
        </c:ser>
        <c:dLbls>
          <c:showLegendKey val="0"/>
          <c:showVal val="0"/>
          <c:showCatName val="0"/>
          <c:showSerName val="0"/>
          <c:showPercent val="0"/>
          <c:showBubbleSize val="0"/>
        </c:dLbls>
        <c:marker val="1"/>
        <c:smooth val="0"/>
        <c:axId val="466005168"/>
        <c:axId val="1"/>
      </c:lineChart>
      <c:catAx>
        <c:axId val="466005168"/>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 </a:t>
                </a:r>
              </a:p>
            </c:rich>
          </c:tx>
          <c:overlay val="0"/>
        </c:title>
        <c:numFmt formatCode="&quot;$&quot;#,##0.00;\(&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6005168"/>
        <c:crosses val="autoZero"/>
        <c:crossBetween val="between"/>
      </c:valAx>
      <c:spPr>
        <a:solidFill>
          <a:schemeClr val="bg1">
            <a:lumMod val="95000"/>
          </a:schemeClr>
        </a:solidFill>
      </c:spPr>
    </c:plotArea>
    <c:legend>
      <c:legendPos val="r"/>
      <c:layout>
        <c:manualLayout>
          <c:xMode val="edge"/>
          <c:yMode val="edge"/>
          <c:x val="7.2580785125436559E-2"/>
          <c:y val="0.86503241311703516"/>
          <c:w val="0.73252786491119504"/>
          <c:h val="9.406971718896584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80C0"/>
                </a:solidFill>
                <a:latin typeface="Calibri"/>
                <a:ea typeface="Calibri"/>
                <a:cs typeface="Calibri"/>
              </a:defRPr>
            </a:pPr>
            <a:r>
              <a:rPr lang="en-CA"/>
              <a:t>Manitoba AgriInsurance Cost Analysis - 2018</a:t>
            </a:r>
          </a:p>
        </c:rich>
      </c:tx>
      <c:overlay val="0"/>
    </c:title>
    <c:autoTitleDeleted val="0"/>
    <c:plotArea>
      <c:layout>
        <c:manualLayout>
          <c:layoutTarget val="inner"/>
          <c:xMode val="edge"/>
          <c:yMode val="edge"/>
          <c:x val="0.11548198520639466"/>
          <c:y val="0.10162184534625479"/>
          <c:w val="0.83906346933905984"/>
          <c:h val="0.71181344639612354"/>
        </c:manualLayout>
      </c:layout>
      <c:barChart>
        <c:barDir val="col"/>
        <c:grouping val="clustered"/>
        <c:varyColors val="0"/>
        <c:ser>
          <c:idx val="3"/>
          <c:order val="3"/>
          <c:tx>
            <c:v>Canola Incremental Cost</c:v>
          </c:tx>
          <c:spPr>
            <a:solidFill>
              <a:srgbClr val="002060"/>
            </a:solidFill>
          </c:spPr>
          <c:invertIfNegative val="0"/>
          <c:val>
            <c:numLit>
              <c:formatCode>General</c:formatCode>
              <c:ptCount val="3"/>
              <c:pt idx="1">
                <c:v>3.3532470205129138E-2</c:v>
              </c:pt>
              <c:pt idx="2">
                <c:v>5.9862117387856822E-2</c:v>
              </c:pt>
            </c:numLit>
          </c:val>
          <c:extLst>
            <c:ext xmlns:c16="http://schemas.microsoft.com/office/drawing/2014/chart" uri="{C3380CC4-5D6E-409C-BE32-E72D297353CC}">
              <c16:uniqueId val="{00000000-001B-423A-AF45-B56EBB3656E2}"/>
            </c:ext>
          </c:extLst>
        </c:ser>
        <c:ser>
          <c:idx val="4"/>
          <c:order val="4"/>
          <c:tx>
            <c:v>Soybeans Incremental Cost</c:v>
          </c:tx>
          <c:spPr>
            <a:solidFill>
              <a:srgbClr val="FF0000"/>
            </a:solidFill>
          </c:spPr>
          <c:invertIfNegative val="0"/>
          <c:val>
            <c:numLit>
              <c:formatCode>General</c:formatCode>
              <c:ptCount val="3"/>
              <c:pt idx="1">
                <c:v>5.9720417873104052E-2</c:v>
              </c:pt>
              <c:pt idx="2">
                <c:v>8.0877295768907342E-2</c:v>
              </c:pt>
            </c:numLit>
          </c:val>
          <c:extLst>
            <c:ext xmlns:c16="http://schemas.microsoft.com/office/drawing/2014/chart" uri="{C3380CC4-5D6E-409C-BE32-E72D297353CC}">
              <c16:uniqueId val="{00000001-001B-423A-AF45-B56EBB3656E2}"/>
            </c:ext>
          </c:extLst>
        </c:ser>
        <c:ser>
          <c:idx val="5"/>
          <c:order val="5"/>
          <c:tx>
            <c:v>Wheat - HRS Incremental Cost</c:v>
          </c:tx>
          <c:spPr>
            <a:solidFill>
              <a:srgbClr val="92D050"/>
            </a:solidFill>
          </c:spPr>
          <c:invertIfNegative val="0"/>
          <c:val>
            <c:numLit>
              <c:formatCode>General</c:formatCode>
              <c:ptCount val="3"/>
              <c:pt idx="1">
                <c:v>4.5109686611766203E-2</c:v>
              </c:pt>
              <c:pt idx="2">
                <c:v>7.5620769142054567E-2</c:v>
              </c:pt>
            </c:numLit>
          </c:val>
          <c:extLst>
            <c:ext xmlns:c16="http://schemas.microsoft.com/office/drawing/2014/chart" uri="{C3380CC4-5D6E-409C-BE32-E72D297353CC}">
              <c16:uniqueId val="{00000002-001B-423A-AF45-B56EBB3656E2}"/>
            </c:ext>
          </c:extLst>
        </c:ser>
        <c:dLbls>
          <c:showLegendKey val="0"/>
          <c:showVal val="0"/>
          <c:showCatName val="0"/>
          <c:showSerName val="0"/>
          <c:showPercent val="0"/>
          <c:showBubbleSize val="0"/>
        </c:dLbls>
        <c:gapWidth val="150"/>
        <c:axId val="466002544"/>
        <c:axId val="1"/>
      </c:barChart>
      <c:lineChart>
        <c:grouping val="standard"/>
        <c:varyColors val="0"/>
        <c:ser>
          <c:idx val="0"/>
          <c:order val="0"/>
          <c:tx>
            <c:v>Canola Premium %</c:v>
          </c:tx>
          <c:cat>
            <c:strLit>
              <c:ptCount val="3"/>
              <c:pt idx="0">
                <c:v>50% Coverage</c:v>
              </c:pt>
              <c:pt idx="1">
                <c:v>0.7</c:v>
              </c:pt>
              <c:pt idx="2">
                <c:v>0.8</c:v>
              </c:pt>
            </c:strLit>
          </c:cat>
          <c:val>
            <c:numLit>
              <c:formatCode>General</c:formatCode>
              <c:ptCount val="3"/>
              <c:pt idx="0">
                <c:v>1.0761864986411481E-2</c:v>
              </c:pt>
              <c:pt idx="1">
                <c:v>1.726775219175938E-2</c:v>
              </c:pt>
              <c:pt idx="2">
                <c:v>2.2592047841271567E-2</c:v>
              </c:pt>
            </c:numLit>
          </c:val>
          <c:smooth val="0"/>
          <c:extLst>
            <c:ext xmlns:c16="http://schemas.microsoft.com/office/drawing/2014/chart" uri="{C3380CC4-5D6E-409C-BE32-E72D297353CC}">
              <c16:uniqueId val="{00000003-001B-423A-AF45-B56EBB3656E2}"/>
            </c:ext>
          </c:extLst>
        </c:ser>
        <c:ser>
          <c:idx val="1"/>
          <c:order val="1"/>
          <c:tx>
            <c:v>Soybeans Premium %</c:v>
          </c:tx>
          <c:val>
            <c:numLit>
              <c:formatCode>General</c:formatCode>
              <c:ptCount val="3"/>
              <c:pt idx="0">
                <c:v>3.1615026902491551E-2</c:v>
              </c:pt>
              <c:pt idx="1">
                <c:v>3.9645138608380835E-2</c:v>
              </c:pt>
              <c:pt idx="2">
                <c:v>4.4799158253446651E-2</c:v>
              </c:pt>
            </c:numLit>
          </c:val>
          <c:smooth val="0"/>
          <c:extLst>
            <c:ext xmlns:c16="http://schemas.microsoft.com/office/drawing/2014/chart" uri="{C3380CC4-5D6E-409C-BE32-E72D297353CC}">
              <c16:uniqueId val="{00000004-001B-423A-AF45-B56EBB3656E2}"/>
            </c:ext>
          </c:extLst>
        </c:ser>
        <c:ser>
          <c:idx val="2"/>
          <c:order val="2"/>
          <c:tx>
            <c:v>Wheat - HRS Premium %</c:v>
          </c:tx>
          <c:val>
            <c:numLit>
              <c:formatCode>General</c:formatCode>
              <c:ptCount val="3"/>
              <c:pt idx="0">
                <c:v>1.1810270701915482E-2</c:v>
              </c:pt>
              <c:pt idx="1">
                <c:v>2.1324389533301399E-2</c:v>
              </c:pt>
              <c:pt idx="2">
                <c:v>2.8111436984395544E-2</c:v>
              </c:pt>
            </c:numLit>
          </c:val>
          <c:smooth val="0"/>
          <c:extLst>
            <c:ext xmlns:c16="http://schemas.microsoft.com/office/drawing/2014/chart" uri="{C3380CC4-5D6E-409C-BE32-E72D297353CC}">
              <c16:uniqueId val="{00000005-001B-423A-AF45-B56EBB3656E2}"/>
            </c:ext>
          </c:extLst>
        </c:ser>
        <c:dLbls>
          <c:showLegendKey val="0"/>
          <c:showVal val="0"/>
          <c:showCatName val="0"/>
          <c:showSerName val="0"/>
          <c:showPercent val="0"/>
          <c:showBubbleSize val="0"/>
        </c:dLbls>
        <c:marker val="1"/>
        <c:smooth val="0"/>
        <c:axId val="466002544"/>
        <c:axId val="1"/>
      </c:lineChart>
      <c:catAx>
        <c:axId val="466002544"/>
        <c:scaling>
          <c:orientation val="minMax"/>
        </c:scaling>
        <c:delete val="0"/>
        <c:axPos val="b"/>
        <c:numFmt formatCode="General" sourceLinked="1"/>
        <c:majorTickMark val="cross"/>
        <c:minorTickMark val="none"/>
        <c:tickLblPos val="low"/>
        <c:spPr>
          <a:ln w="31750"/>
        </c:spPr>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0"/>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466002544"/>
        <c:crosses val="autoZero"/>
        <c:crossBetween val="between"/>
      </c:valAx>
      <c:spPr>
        <a:solidFill>
          <a:schemeClr val="bg1">
            <a:lumMod val="95000"/>
          </a:schemeClr>
        </a:solidFill>
      </c:spPr>
    </c:plotArea>
    <c:legend>
      <c:legendPos val="r"/>
      <c:layout>
        <c:manualLayout>
          <c:xMode val="edge"/>
          <c:yMode val="edge"/>
          <c:x val="7.0889951541445437E-2"/>
          <c:y val="0.84928713910761156"/>
          <c:w val="0.88235429475425164"/>
          <c:h val="0.13034624671916006"/>
        </c:manualLayout>
      </c:layou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(HIDE)'!$AQ$25</c:f>
          <c:strCache>
            <c:ptCount val="1"/>
            <c:pt idx="0">
              <c:v>Manitoba Crop Profitability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barChart>
        <c:barDir val="col"/>
        <c:grouping val="stacked"/>
        <c:varyColors val="0"/>
        <c:ser>
          <c:idx val="1"/>
          <c:order val="0"/>
          <c:tx>
            <c:strRef>
              <c:f>'For PPT (HIDE)'!$X$28</c:f>
              <c:strCache>
                <c:ptCount val="1"/>
                <c:pt idx="0">
                  <c:v>Operating Costs</c:v>
                </c:pt>
              </c:strCache>
            </c:strRef>
          </c:tx>
          <c:invertIfNegative val="0"/>
          <c:cat>
            <c:strRef>
              <c:f>'For PPT (HIDE)'!$B$7:$B$12</c:f>
              <c:strCache>
                <c:ptCount val="6"/>
                <c:pt idx="0">
                  <c:v>Canola</c:v>
                </c:pt>
                <c:pt idx="1">
                  <c:v>Wheat - Hard Red Spring</c:v>
                </c:pt>
                <c:pt idx="2">
                  <c:v>Soybeans</c:v>
                </c:pt>
                <c:pt idx="3">
                  <c:v>Barley</c:v>
                </c:pt>
                <c:pt idx="4">
                  <c:v>Oats</c:v>
                </c:pt>
                <c:pt idx="5">
                  <c:v>Corn</c:v>
                </c:pt>
              </c:strCache>
            </c:strRef>
          </c:cat>
          <c:val>
            <c:numRef>
              <c:f>'For PPT (HIDE)'!$X$29:$X$34</c:f>
              <c:numCache>
                <c:formatCode>"$"#,##0.00_);\("$"#,##0.00\)</c:formatCode>
                <c:ptCount val="6"/>
                <c:pt idx="0">
                  <c:v>244.95043592838095</c:v>
                </c:pt>
                <c:pt idx="1">
                  <c:v>199.48883328165601</c:v>
                </c:pt>
                <c:pt idx="2">
                  <c:v>202.72000432861327</c:v>
                </c:pt>
                <c:pt idx="3">
                  <c:v>178.38326176678888</c:v>
                </c:pt>
                <c:pt idx="4">
                  <c:v>157.37599038727407</c:v>
                </c:pt>
                <c:pt idx="5">
                  <c:v>337.88685009746649</c:v>
                </c:pt>
              </c:numCache>
            </c:numRef>
          </c:val>
          <c:extLst>
            <c:ext xmlns:c16="http://schemas.microsoft.com/office/drawing/2014/chart" uri="{C3380CC4-5D6E-409C-BE32-E72D297353CC}">
              <c16:uniqueId val="{00000000-1E5E-4E17-81FD-14768F1DD7C3}"/>
            </c:ext>
          </c:extLst>
        </c:ser>
        <c:ser>
          <c:idx val="3"/>
          <c:order val="1"/>
          <c:tx>
            <c:strRef>
              <c:f>'For PPT (HIDE)'!$Y$28</c:f>
              <c:strCache>
                <c:ptCount val="1"/>
                <c:pt idx="0">
                  <c:v>Fixed Costs</c:v>
                </c:pt>
              </c:strCache>
            </c:strRef>
          </c:tx>
          <c:spPr>
            <a:solidFill>
              <a:schemeClr val="accent1"/>
            </a:solidFill>
          </c:spPr>
          <c:invertIfNegative val="0"/>
          <c:cat>
            <c:strRef>
              <c:f>'For PPT (HIDE)'!$B$7:$B$12</c:f>
              <c:strCache>
                <c:ptCount val="6"/>
                <c:pt idx="0">
                  <c:v>Canola</c:v>
                </c:pt>
                <c:pt idx="1">
                  <c:v>Wheat - Hard Red Spring</c:v>
                </c:pt>
                <c:pt idx="2">
                  <c:v>Soybeans</c:v>
                </c:pt>
                <c:pt idx="3">
                  <c:v>Barley</c:v>
                </c:pt>
                <c:pt idx="4">
                  <c:v>Oats</c:v>
                </c:pt>
                <c:pt idx="5">
                  <c:v>Corn</c:v>
                </c:pt>
              </c:strCache>
            </c:strRef>
          </c:cat>
          <c:val>
            <c:numRef>
              <c:f>'For PPT (HIDE)'!$Y$29:$Y$34</c:f>
              <c:numCache>
                <c:formatCode>"$"#,##0.00_);\("$"#,##0.00\)</c:formatCode>
                <c:ptCount val="6"/>
                <c:pt idx="0">
                  <c:v>134.73952500000001</c:v>
                </c:pt>
                <c:pt idx="1">
                  <c:v>136.83638437500002</c:v>
                </c:pt>
                <c:pt idx="2">
                  <c:v>134.73952500000001</c:v>
                </c:pt>
                <c:pt idx="3">
                  <c:v>139.35261562500003</c:v>
                </c:pt>
                <c:pt idx="4">
                  <c:v>143.82591562500002</c:v>
                </c:pt>
                <c:pt idx="5">
                  <c:v>156.98537812500001</c:v>
                </c:pt>
              </c:numCache>
            </c:numRef>
          </c:val>
          <c:extLst>
            <c:ext xmlns:c16="http://schemas.microsoft.com/office/drawing/2014/chart" uri="{C3380CC4-5D6E-409C-BE32-E72D297353CC}">
              <c16:uniqueId val="{00000001-1E5E-4E17-81FD-14768F1DD7C3}"/>
            </c:ext>
          </c:extLst>
        </c:ser>
        <c:ser>
          <c:idx val="4"/>
          <c:order val="2"/>
          <c:tx>
            <c:strRef>
              <c:f>'For PPT (HIDE)'!$AV$28</c:f>
              <c:strCache>
                <c:ptCount val="1"/>
                <c:pt idx="0">
                  <c:v>Margin Over Total Costs (Net Profit)</c:v>
                </c:pt>
              </c:strCache>
            </c:strRef>
          </c:tx>
          <c:spPr>
            <a:solidFill>
              <a:srgbClr val="92D050"/>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(HIDE)'!$B$7:$B$12</c:f>
              <c:strCache>
                <c:ptCount val="6"/>
                <c:pt idx="0">
                  <c:v>Canola</c:v>
                </c:pt>
                <c:pt idx="1">
                  <c:v>Wheat - Hard Red Spring</c:v>
                </c:pt>
                <c:pt idx="2">
                  <c:v>Soybeans</c:v>
                </c:pt>
                <c:pt idx="3">
                  <c:v>Barley</c:v>
                </c:pt>
                <c:pt idx="4">
                  <c:v>Oats</c:v>
                </c:pt>
                <c:pt idx="5">
                  <c:v>Corn</c:v>
                </c:pt>
              </c:strCache>
            </c:strRef>
          </c:cat>
          <c:val>
            <c:numRef>
              <c:f>'For PPT (HIDE)'!$AV$29:$AV$34</c:f>
              <c:numCache>
                <c:formatCode>"$"#,##0.00;\("$"#,##0.00\)</c:formatCode>
                <c:ptCount val="6"/>
                <c:pt idx="0">
                  <c:v>40.31003907161903</c:v>
                </c:pt>
                <c:pt idx="1">
                  <c:v>10.424782343343963</c:v>
                </c:pt>
                <c:pt idx="2">
                  <c:v>52.540470671386743</c:v>
                </c:pt>
                <c:pt idx="3">
                  <c:v>-66.685877391788893</c:v>
                </c:pt>
                <c:pt idx="4">
                  <c:v>10.048093987725906</c:v>
                </c:pt>
                <c:pt idx="5">
                  <c:v>39.127771777533553</c:v>
                </c:pt>
              </c:numCache>
            </c:numRef>
          </c:val>
          <c:extLst>
            <c:ext xmlns:c16="http://schemas.microsoft.com/office/drawing/2014/chart" uri="{C3380CC4-5D6E-409C-BE32-E72D297353CC}">
              <c16:uniqueId val="{00000002-1E5E-4E17-81FD-14768F1DD7C3}"/>
            </c:ext>
          </c:extLst>
        </c:ser>
        <c:dLbls>
          <c:showLegendKey val="0"/>
          <c:showVal val="0"/>
          <c:showCatName val="0"/>
          <c:showSerName val="0"/>
          <c:showPercent val="0"/>
          <c:showBubbleSize val="0"/>
        </c:dLbls>
        <c:gapWidth val="150"/>
        <c:overlap val="100"/>
        <c:axId val="466006808"/>
        <c:axId val="1"/>
      </c:barChart>
      <c:catAx>
        <c:axId val="466006808"/>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_);\(&quot;$&quot;#,##0.00\)" sourceLinked="1"/>
        <c:majorTickMark val="in"/>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6006808"/>
        <c:crosses val="autoZero"/>
        <c:crossBetween val="between"/>
      </c:valAx>
      <c:spPr>
        <a:solidFill>
          <a:schemeClr val="bg1">
            <a:lumMod val="85000"/>
          </a:schemeClr>
        </a:solidFill>
      </c:spPr>
    </c:plotArea>
    <c:legend>
      <c:legendPos val="b"/>
      <c:layout>
        <c:manualLayout>
          <c:xMode val="edge"/>
          <c:yMode val="edge"/>
          <c:x val="6.3649222065063654E-2"/>
          <c:y val="0.92938939236369034"/>
          <c:w val="0.89957567185289955"/>
          <c:h val="5.7251918981825356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'For PPT (HIDE)'!$BP$27</c:f>
          <c:strCache>
            <c:ptCount val="1"/>
            <c:pt idx="0">
              <c:v>Manitoba Crop Profitability 'Stress Test' - Price Down 10% &amp; Yield Down 5% ($/Acre) - 2018</c:v>
            </c:pt>
          </c:strCache>
        </c:strRef>
      </c:tx>
      <c:overlay val="0"/>
      <c:txPr>
        <a:bodyPr/>
        <a:lstStyle/>
        <a:p>
          <a:pPr>
            <a:defRPr sz="2000" b="1" i="0" u="none" strike="noStrike" baseline="0">
              <a:solidFill>
                <a:srgbClr val="0080C0"/>
              </a:solidFill>
              <a:latin typeface="Calibri"/>
              <a:ea typeface="Calibri"/>
              <a:cs typeface="Calibri"/>
            </a:defRPr>
          </a:pPr>
          <a:endParaRPr lang="en-US"/>
        </a:p>
      </c:txPr>
    </c:title>
    <c:autoTitleDeleted val="0"/>
    <c:plotArea>
      <c:layout/>
      <c:barChart>
        <c:barDir val="col"/>
        <c:grouping val="stacked"/>
        <c:varyColors val="0"/>
        <c:ser>
          <c:idx val="1"/>
          <c:order val="0"/>
          <c:tx>
            <c:strRef>
              <c:f>'For PPT (HIDE)'!$X$28</c:f>
              <c:strCache>
                <c:ptCount val="1"/>
                <c:pt idx="0">
                  <c:v>Operating Costs</c:v>
                </c:pt>
              </c:strCache>
            </c:strRef>
          </c:tx>
          <c:invertIfNegative val="0"/>
          <c:val>
            <c:numRef>
              <c:f>'For PPT (HIDE)'!$X$29:$X$34</c:f>
              <c:numCache>
                <c:formatCode>"$"#,##0.00_);\("$"#,##0.00\)</c:formatCode>
                <c:ptCount val="6"/>
                <c:pt idx="0">
                  <c:v>244.95043592838095</c:v>
                </c:pt>
                <c:pt idx="1">
                  <c:v>199.48883328165601</c:v>
                </c:pt>
                <c:pt idx="2">
                  <c:v>202.72000432861327</c:v>
                </c:pt>
                <c:pt idx="3">
                  <c:v>178.38326176678888</c:v>
                </c:pt>
                <c:pt idx="4">
                  <c:v>157.37599038727407</c:v>
                </c:pt>
                <c:pt idx="5">
                  <c:v>337.88685009746649</c:v>
                </c:pt>
              </c:numCache>
            </c:numRef>
          </c:val>
          <c:extLst>
            <c:ext xmlns:c16="http://schemas.microsoft.com/office/drawing/2014/chart" uri="{C3380CC4-5D6E-409C-BE32-E72D297353CC}">
              <c16:uniqueId val="{00000000-0882-47D0-B46D-AAC04E9459D1}"/>
            </c:ext>
          </c:extLst>
        </c:ser>
        <c:ser>
          <c:idx val="2"/>
          <c:order val="1"/>
          <c:tx>
            <c:strRef>
              <c:f>'For PPT (HIDE)'!$Y$28</c:f>
              <c:strCache>
                <c:ptCount val="1"/>
                <c:pt idx="0">
                  <c:v>Fixed Costs</c:v>
                </c:pt>
              </c:strCache>
            </c:strRef>
          </c:tx>
          <c:spPr>
            <a:solidFill>
              <a:schemeClr val="accent1"/>
            </a:solidFill>
          </c:spPr>
          <c:invertIfNegative val="0"/>
          <c:val>
            <c:numRef>
              <c:f>'For PPT (HIDE)'!$Y$29:$Y$34</c:f>
              <c:numCache>
                <c:formatCode>"$"#,##0.00_);\("$"#,##0.00\)</c:formatCode>
                <c:ptCount val="6"/>
                <c:pt idx="0">
                  <c:v>134.73952500000001</c:v>
                </c:pt>
                <c:pt idx="1">
                  <c:v>136.83638437500002</c:v>
                </c:pt>
                <c:pt idx="2">
                  <c:v>134.73952500000001</c:v>
                </c:pt>
                <c:pt idx="3">
                  <c:v>139.35261562500003</c:v>
                </c:pt>
                <c:pt idx="4">
                  <c:v>143.82591562500002</c:v>
                </c:pt>
                <c:pt idx="5">
                  <c:v>156.98537812500001</c:v>
                </c:pt>
              </c:numCache>
            </c:numRef>
          </c:val>
          <c:extLst>
            <c:ext xmlns:c16="http://schemas.microsoft.com/office/drawing/2014/chart" uri="{C3380CC4-5D6E-409C-BE32-E72D297353CC}">
              <c16:uniqueId val="{00000001-0882-47D0-B46D-AAC04E9459D1}"/>
            </c:ext>
          </c:extLst>
        </c:ser>
        <c:ser>
          <c:idx val="0"/>
          <c:order val="2"/>
          <c:tx>
            <c:strRef>
              <c:f>'For PPT (HIDE)'!$BS$28</c:f>
              <c:strCache>
                <c:ptCount val="1"/>
                <c:pt idx="0">
                  <c:v>Margin Over Total Costs (Net Profit)</c:v>
                </c:pt>
              </c:strCache>
            </c:strRef>
          </c:tx>
          <c:spPr>
            <a:solidFill>
              <a:schemeClr val="accent3"/>
            </a:solidFill>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'For PPT (HIDE)'!$B$7:$B$23</c:f>
              <c:strCache>
                <c:ptCount val="17"/>
                <c:pt idx="0">
                  <c:v>Canola</c:v>
                </c:pt>
                <c:pt idx="1">
                  <c:v>Wheat - Hard Red Spring</c:v>
                </c:pt>
                <c:pt idx="2">
                  <c:v>Soybeans</c:v>
                </c:pt>
                <c:pt idx="3">
                  <c:v>Barley</c:v>
                </c:pt>
                <c:pt idx="4">
                  <c:v>Oats</c:v>
                </c:pt>
                <c:pt idx="5">
                  <c:v>Corn</c:v>
                </c:pt>
                <c:pt idx="6">
                  <c:v>Wheat - Northern Hard Red</c:v>
                </c:pt>
                <c:pt idx="7">
                  <c:v>Wheat - Winter</c:v>
                </c:pt>
                <c:pt idx="8">
                  <c:v>Flaxseed</c:v>
                </c:pt>
                <c:pt idx="9">
                  <c:v>Fall Rye</c:v>
                </c:pt>
                <c:pt idx="10">
                  <c:v>Peas</c:v>
                </c:pt>
                <c:pt idx="11">
                  <c:v>Sunflower Confection</c:v>
                </c:pt>
                <c:pt idx="12">
                  <c:v>Beans - Pinto</c:v>
                </c:pt>
                <c:pt idx="13">
                  <c:v>Beans - White</c:v>
                </c:pt>
                <c:pt idx="14">
                  <c:v>Sunflower Oil</c:v>
                </c:pt>
                <c:pt idx="15">
                  <c:v>Wheat - Special Purpose</c:v>
                </c:pt>
                <c:pt idx="16">
                  <c:v>Wheat - Prairie Spring</c:v>
                </c:pt>
              </c:strCache>
            </c:strRef>
          </c:cat>
          <c:val>
            <c:numRef>
              <c:f>'For PPT (HIDE)'!$BS$29:$BS$34</c:f>
              <c:numCache>
                <c:formatCode>"$"#,##0.00;\("$"#,##0.00\)</c:formatCode>
                <c:ptCount val="6"/>
                <c:pt idx="0">
                  <c:v>-24.93996092838097</c:v>
                </c:pt>
                <c:pt idx="1">
                  <c:v>-45.745217656656052</c:v>
                </c:pt>
                <c:pt idx="2">
                  <c:v>-8.3595293286132346</c:v>
                </c:pt>
                <c:pt idx="3">
                  <c:v>-108.6508773917889</c:v>
                </c:pt>
                <c:pt idx="4">
                  <c:v>-38.701906012274094</c:v>
                </c:pt>
                <c:pt idx="5">
                  <c:v>-42.472228222466413</c:v>
                </c:pt>
              </c:numCache>
            </c:numRef>
          </c:val>
          <c:extLst>
            <c:ext xmlns:c16="http://schemas.microsoft.com/office/drawing/2014/chart" uri="{C3380CC4-5D6E-409C-BE32-E72D297353CC}">
              <c16:uniqueId val="{00000002-0882-47D0-B46D-AAC04E9459D1}"/>
            </c:ext>
          </c:extLst>
        </c:ser>
        <c:dLbls>
          <c:showLegendKey val="0"/>
          <c:showVal val="0"/>
          <c:showCatName val="0"/>
          <c:showSerName val="0"/>
          <c:showPercent val="0"/>
          <c:showBubbleSize val="0"/>
        </c:dLbls>
        <c:gapWidth val="75"/>
        <c:overlap val="100"/>
        <c:axId val="466002872"/>
        <c:axId val="1"/>
      </c:barChart>
      <c:catAx>
        <c:axId val="466002872"/>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a:t>
                </a:r>
              </a:p>
            </c:rich>
          </c:tx>
          <c:overlay val="0"/>
        </c:title>
        <c:numFmt formatCode="&quot;$&quot;#,##0.00_);\(&quot;$&quot;#,##0.00\)" sourceLinked="1"/>
        <c:majorTickMark val="none"/>
        <c:minorTickMark val="none"/>
        <c:tickLblPos val="nextTo"/>
        <c:spPr>
          <a:ln w="9525">
            <a:solidFill>
              <a:srgbClr val="4F81BD"/>
            </a:solidFill>
          </a:ln>
        </c:spPr>
        <c:txPr>
          <a:bodyPr rot="0" vert="horz"/>
          <a:lstStyle/>
          <a:p>
            <a:pPr>
              <a:defRPr sz="1000" b="0" i="0" u="none" strike="noStrike" baseline="0">
                <a:solidFill>
                  <a:srgbClr val="000000"/>
                </a:solidFill>
                <a:latin typeface="Calibri"/>
                <a:ea typeface="Calibri"/>
                <a:cs typeface="Calibri"/>
              </a:defRPr>
            </a:pPr>
            <a:endParaRPr lang="en-US"/>
          </a:p>
        </c:txPr>
        <c:crossAx val="466002872"/>
        <c:crosses val="autoZero"/>
        <c:crossBetween val="between"/>
      </c:valAx>
      <c:spPr>
        <a:solidFill>
          <a:schemeClr val="bg1">
            <a:lumMod val="85000"/>
          </a:schemeClr>
        </a:solidFill>
      </c:spPr>
    </c:plotArea>
    <c:legend>
      <c:legendPos val="b"/>
      <c:layout>
        <c:manualLayout>
          <c:xMode val="edge"/>
          <c:yMode val="edge"/>
          <c:x val="4.6283309957924262E-2"/>
          <c:y val="0.918685061803172"/>
          <c:w val="0.89901823281907434"/>
          <c:h val="5.190317876932049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062" r="0.70000000000000062" t="0.750000000000001" header="0.30000000000000032" footer="0.30000000000000032"/>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2000" b="1" i="0" baseline="0">
                <a:solidFill>
                  <a:schemeClr val="accent1"/>
                </a:solidFill>
                <a:effectLst/>
              </a:rPr>
              <a:t>Manitoba - Land Rent Calculation - 2018</a:t>
            </a:r>
            <a:endParaRPr lang="en-CA" sz="2000">
              <a:solidFill>
                <a:schemeClr val="accent1"/>
              </a:solidFill>
              <a:effectLst/>
            </a:endParaRPr>
          </a:p>
        </c:rich>
      </c:tx>
      <c:overlay val="0"/>
      <c:spPr>
        <a:noFill/>
        <a:ln w="25400">
          <a:noFill/>
        </a:ln>
      </c:spPr>
    </c:title>
    <c:autoTitleDeleted val="0"/>
    <c:plotArea>
      <c:layout>
        <c:manualLayout>
          <c:layoutTarget val="inner"/>
          <c:xMode val="edge"/>
          <c:yMode val="edge"/>
          <c:x val="8.1849087950332272E-2"/>
          <c:y val="0.12527652088814137"/>
          <c:w val="0.89790906178516894"/>
          <c:h val="0.73332013909303007"/>
        </c:manualLayout>
      </c:layout>
      <c:barChart>
        <c:barDir val="col"/>
        <c:grouping val="stacked"/>
        <c:varyColors val="0"/>
        <c:ser>
          <c:idx val="0"/>
          <c:order val="0"/>
          <c:tx>
            <c:strRef>
              <c:f>'For PPT (HIDE)'!$CY$39</c:f>
              <c:strCache>
                <c:ptCount val="1"/>
                <c:pt idx="0">
                  <c:v>Rent ($/ac)</c:v>
                </c:pt>
              </c:strCache>
            </c:strRef>
          </c:tx>
          <c:spPr>
            <a:solidFill>
              <a:srgbClr val="92D050"/>
            </a:solidFill>
            <a:ln>
              <a:solidFill>
                <a:sysClr val="windowText" lastClr="000000"/>
              </a:solid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'For PPT (HIDE)'!$CW$40:$CX$47</c:f>
              <c:multiLvlStrCache>
                <c:ptCount val="8"/>
                <c:lvl>
                  <c:pt idx="0">
                    <c:v>18%</c:v>
                  </c:pt>
                  <c:pt idx="1">
                    <c:v>22%</c:v>
                  </c:pt>
                  <c:pt idx="3">
                    <c:v>18%</c:v>
                  </c:pt>
                  <c:pt idx="4">
                    <c:v>22%</c:v>
                  </c:pt>
                  <c:pt idx="6">
                    <c:v>18%</c:v>
                  </c:pt>
                  <c:pt idx="7">
                    <c:v>22%</c:v>
                  </c:pt>
                </c:lvl>
                <c:lvl>
                  <c:pt idx="0">
                    <c:v>Canola</c:v>
                  </c:pt>
                  <c:pt idx="3">
                    <c:v>Soybean</c:v>
                  </c:pt>
                  <c:pt idx="6">
                    <c:v>CWRS</c:v>
                  </c:pt>
                </c:lvl>
              </c:multiLvlStrCache>
            </c:multiLvlStrRef>
          </c:cat>
          <c:val>
            <c:numRef>
              <c:f>'For PPT (HIDE)'!$CY$40:$CY$47</c:f>
              <c:numCache>
                <c:formatCode>"$"#,##0.00_);\("$"#,##0.00\)</c:formatCode>
                <c:ptCount val="8"/>
                <c:pt idx="0">
                  <c:v>81</c:v>
                </c:pt>
                <c:pt idx="1">
                  <c:v>99</c:v>
                </c:pt>
                <c:pt idx="3">
                  <c:v>75.599999999999994</c:v>
                </c:pt>
                <c:pt idx="4">
                  <c:v>92.4</c:v>
                </c:pt>
                <c:pt idx="6">
                  <c:v>67.814999999999998</c:v>
                </c:pt>
                <c:pt idx="7">
                  <c:v>82.885000000000005</c:v>
                </c:pt>
              </c:numCache>
            </c:numRef>
          </c:val>
          <c:extLst>
            <c:ext xmlns:c16="http://schemas.microsoft.com/office/drawing/2014/chart" uri="{C3380CC4-5D6E-409C-BE32-E72D297353CC}">
              <c16:uniqueId val="{00000000-897E-4855-8E0F-1492D8953AFB}"/>
            </c:ext>
          </c:extLst>
        </c:ser>
        <c:ser>
          <c:idx val="1"/>
          <c:order val="1"/>
          <c:tx>
            <c:strRef>
              <c:f>'For PPT (HIDE)'!$CZ$39</c:f>
              <c:strCache>
                <c:ptCount val="1"/>
                <c:pt idx="0">
                  <c:v>Net Profit ($/ac)</c:v>
                </c:pt>
              </c:strCache>
            </c:strRef>
          </c:tx>
          <c:spPr>
            <a:solidFill>
              <a:schemeClr val="accent2"/>
            </a:solidFill>
            <a:ln>
              <a:solidFill>
                <a:sysClr val="windowText" lastClr="000000"/>
              </a:solid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'For PPT (HIDE)'!$CW$40:$CX$47</c:f>
              <c:multiLvlStrCache>
                <c:ptCount val="8"/>
                <c:lvl>
                  <c:pt idx="0">
                    <c:v>18%</c:v>
                  </c:pt>
                  <c:pt idx="1">
                    <c:v>22%</c:v>
                  </c:pt>
                  <c:pt idx="3">
                    <c:v>18%</c:v>
                  </c:pt>
                  <c:pt idx="4">
                    <c:v>22%</c:v>
                  </c:pt>
                  <c:pt idx="6">
                    <c:v>18%</c:v>
                  </c:pt>
                  <c:pt idx="7">
                    <c:v>22%</c:v>
                  </c:pt>
                </c:lvl>
                <c:lvl>
                  <c:pt idx="0">
                    <c:v>Canola</c:v>
                  </c:pt>
                  <c:pt idx="3">
                    <c:v>Soybean</c:v>
                  </c:pt>
                  <c:pt idx="6">
                    <c:v>CWRS</c:v>
                  </c:pt>
                </c:lvl>
              </c:multiLvlStrCache>
            </c:multiLvlStrRef>
          </c:cat>
          <c:val>
            <c:numRef>
              <c:f>'For PPT (HIDE)'!$CZ$40:$CZ$47</c:f>
              <c:numCache>
                <c:formatCode>"$"#,##0.00_);\("$"#,##0.00\)</c:formatCode>
                <c:ptCount val="8"/>
                <c:pt idx="0">
                  <c:v>25.670539071619032</c:v>
                </c:pt>
                <c:pt idx="1">
                  <c:v>7.6705390716190323</c:v>
                </c:pt>
                <c:pt idx="3">
                  <c:v>38.787970671386717</c:v>
                </c:pt>
                <c:pt idx="4">
                  <c:v>21.987970671386705</c:v>
                </c:pt>
                <c:pt idx="6">
                  <c:v>8.8722823433440112</c:v>
                </c:pt>
                <c:pt idx="7">
                  <c:v>-6.1977176566559962</c:v>
                </c:pt>
              </c:numCache>
            </c:numRef>
          </c:val>
          <c:extLst>
            <c:ext xmlns:c16="http://schemas.microsoft.com/office/drawing/2014/chart" uri="{C3380CC4-5D6E-409C-BE32-E72D297353CC}">
              <c16:uniqueId val="{00000001-897E-4855-8E0F-1492D8953AFB}"/>
            </c:ext>
          </c:extLst>
        </c:ser>
        <c:dLbls>
          <c:showLegendKey val="0"/>
          <c:showVal val="0"/>
          <c:showCatName val="0"/>
          <c:showSerName val="0"/>
          <c:showPercent val="0"/>
          <c:showBubbleSize val="0"/>
        </c:dLbls>
        <c:gapWidth val="150"/>
        <c:overlap val="100"/>
        <c:axId val="466003528"/>
        <c:axId val="1"/>
      </c:barChart>
      <c:catAx>
        <c:axId val="46600352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max val="120"/>
        </c:scaling>
        <c:delete val="0"/>
        <c:axPos val="l"/>
        <c:majorGridlines>
          <c:spPr>
            <a:ln w="9525" cap="flat" cmpd="sng" algn="ctr">
              <a:solidFill>
                <a:sysClr val="windowText" lastClr="000000"/>
              </a:solidFill>
              <a:round/>
            </a:ln>
            <a:effectLst/>
          </c:spPr>
        </c:majorGridlines>
        <c:numFmt formatCode="\$#,##0.0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6003528"/>
        <c:crosses val="autoZero"/>
        <c:crossBetween val="between"/>
      </c:valAx>
      <c:spPr>
        <a:solidFill>
          <a:schemeClr val="bg1">
            <a:lumMod val="95000"/>
          </a:schemeClr>
        </a:solidFill>
        <a:ln>
          <a:solidFill>
            <a:schemeClr val="tx1"/>
          </a:solidFill>
        </a:ln>
        <a:effectLst/>
      </c:spPr>
    </c:plotArea>
    <c:legend>
      <c:legendPos val="b"/>
      <c:layout>
        <c:manualLayout>
          <c:xMode val="edge"/>
          <c:yMode val="edge"/>
          <c:x val="0.28062720997751894"/>
          <c:y val="0.92827204532627572"/>
          <c:w val="0.44586962497693533"/>
          <c:h val="5.4852464945013391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(HIDE)'!$A$34</c:f>
          <c:strCache>
            <c:ptCount val="1"/>
            <c:pt idx="0">
              <c:v>Manitoba - Monetizing Risk &amp; Reward ($/unit) - 2022</c:v>
            </c:pt>
          </c:strCache>
        </c:strRef>
      </c:tx>
      <c:overlay val="0"/>
      <c:txPr>
        <a:bodyPr/>
        <a:lstStyle/>
        <a:p>
          <a:pPr>
            <a:defRPr sz="18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341150864032958"/>
          <c:y val="9.842703872542248E-2"/>
          <c:w val="0.84554592799286032"/>
          <c:h val="0.7901560989086891"/>
        </c:manualLayout>
      </c:layout>
      <c:barChart>
        <c:barDir val="col"/>
        <c:grouping val="stacked"/>
        <c:varyColors val="0"/>
        <c:ser>
          <c:idx val="0"/>
          <c:order val="0"/>
          <c:tx>
            <c:strRef>
              <c:f>'Chart data (HIDE)'!$B$36</c:f>
              <c:strCache>
                <c:ptCount val="1"/>
                <c:pt idx="0">
                  <c:v>$/unit Covered By AgriInsurance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(HIDE)'!$A$37:$A$42</c:f>
              <c:strCache>
                <c:ptCount val="6"/>
                <c:pt idx="0">
                  <c:v>Canola</c:v>
                </c:pt>
                <c:pt idx="1">
                  <c:v>Wheat - Hard Red Spring</c:v>
                </c:pt>
                <c:pt idx="2">
                  <c:v>Soybeans</c:v>
                </c:pt>
                <c:pt idx="3">
                  <c:v>Barley</c:v>
                </c:pt>
                <c:pt idx="4">
                  <c:v>Oats</c:v>
                </c:pt>
                <c:pt idx="5">
                  <c:v>Corn</c:v>
                </c:pt>
              </c:strCache>
            </c:strRef>
          </c:cat>
          <c:val>
            <c:numRef>
              <c:f>'Chart data (HIDE)'!$B$37:$B$42</c:f>
              <c:numCache>
                <c:formatCode>"$"#,##0.00</c:formatCode>
                <c:ptCount val="6"/>
                <c:pt idx="0">
                  <c:v>8.2606500000000018</c:v>
                </c:pt>
                <c:pt idx="1">
                  <c:v>4.9817963636363638</c:v>
                </c:pt>
                <c:pt idx="2">
                  <c:v>7.0662599999999998</c:v>
                </c:pt>
                <c:pt idx="3">
                  <c:v>3.0020712328767125</c:v>
                </c:pt>
                <c:pt idx="4">
                  <c:v>2.5009142857142859</c:v>
                </c:pt>
                <c:pt idx="5">
                  <c:v>2.4535148936170215</c:v>
                </c:pt>
              </c:numCache>
            </c:numRef>
          </c:val>
          <c:extLst>
            <c:ext xmlns:c16="http://schemas.microsoft.com/office/drawing/2014/chart" uri="{C3380CC4-5D6E-409C-BE32-E72D297353CC}">
              <c16:uniqueId val="{00000000-A927-4075-848A-C0E0C3866A88}"/>
            </c:ext>
          </c:extLst>
        </c:ser>
        <c:ser>
          <c:idx val="1"/>
          <c:order val="1"/>
          <c:tx>
            <c:strRef>
              <c:f>'Chart data (HIDE)'!$C$36</c:f>
              <c:strCache>
                <c:ptCount val="1"/>
                <c:pt idx="0">
                  <c:v>$/unit  Exposed Risk</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(HIDE)'!$A$37:$A$42</c:f>
              <c:strCache>
                <c:ptCount val="6"/>
                <c:pt idx="0">
                  <c:v>Canola</c:v>
                </c:pt>
                <c:pt idx="1">
                  <c:v>Wheat - Hard Red Spring</c:v>
                </c:pt>
                <c:pt idx="2">
                  <c:v>Soybeans</c:v>
                </c:pt>
                <c:pt idx="3">
                  <c:v>Barley</c:v>
                </c:pt>
                <c:pt idx="4">
                  <c:v>Oats</c:v>
                </c:pt>
                <c:pt idx="5">
                  <c:v>Corn</c:v>
                </c:pt>
              </c:strCache>
            </c:strRef>
          </c:cat>
          <c:val>
            <c:numRef>
              <c:f>'Chart data (HIDE)'!$C$37:$C$42</c:f>
              <c:numCache>
                <c:formatCode>"$"#,##0.00</c:formatCode>
                <c:ptCount val="6"/>
                <c:pt idx="0">
                  <c:v>1.9815990232095224</c:v>
                </c:pt>
                <c:pt idx="1">
                  <c:v>1.6786621392119274</c:v>
                </c:pt>
                <c:pt idx="2">
                  <c:v>2.1202282332153324</c:v>
                </c:pt>
                <c:pt idx="3">
                  <c:v>1.7614339368738205</c:v>
                </c:pt>
                <c:pt idx="4">
                  <c:v>0.65338958106927691</c:v>
                </c:pt>
                <c:pt idx="5">
                  <c:v>1.2689831788827406</c:v>
                </c:pt>
              </c:numCache>
            </c:numRef>
          </c:val>
          <c:extLst>
            <c:ext xmlns:c16="http://schemas.microsoft.com/office/drawing/2014/chart" uri="{C3380CC4-5D6E-409C-BE32-E72D297353CC}">
              <c16:uniqueId val="{00000001-A927-4075-848A-C0E0C3866A88}"/>
            </c:ext>
          </c:extLst>
        </c:ser>
        <c:ser>
          <c:idx val="2"/>
          <c:order val="2"/>
          <c:tx>
            <c:strRef>
              <c:f>'Chart data (HIDE)'!$D$36</c:f>
              <c:strCache>
                <c:ptCount val="1"/>
                <c:pt idx="0">
                  <c:v>$/unit Reward</c:v>
                </c:pt>
              </c:strCache>
            </c:strRef>
          </c:tx>
          <c:invertIfNegative val="0"/>
          <c:dLbls>
            <c:dLbl>
              <c:idx val="3"/>
              <c:layout>
                <c:manualLayout>
                  <c:x val="1.9129603060735788E-3"/>
                  <c:y val="1.8713818667403417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27-4075-848A-C0E0C3866A88}"/>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(HIDE)'!$A$37:$A$42</c:f>
              <c:strCache>
                <c:ptCount val="6"/>
                <c:pt idx="0">
                  <c:v>Canola</c:v>
                </c:pt>
                <c:pt idx="1">
                  <c:v>Wheat - Hard Red Spring</c:v>
                </c:pt>
                <c:pt idx="2">
                  <c:v>Soybeans</c:v>
                </c:pt>
                <c:pt idx="3">
                  <c:v>Barley</c:v>
                </c:pt>
                <c:pt idx="4">
                  <c:v>Oats</c:v>
                </c:pt>
                <c:pt idx="5">
                  <c:v>Corn</c:v>
                </c:pt>
              </c:strCache>
            </c:strRef>
          </c:cat>
          <c:val>
            <c:numRef>
              <c:f>'Chart data (HIDE)'!$D$37:$D$42</c:f>
              <c:numCache>
                <c:formatCode>"$"#,##0.00</c:formatCode>
                <c:ptCount val="6"/>
                <c:pt idx="0">
                  <c:v>1.0077509767904758</c:v>
                </c:pt>
                <c:pt idx="1">
                  <c:v>0.18954149715170843</c:v>
                </c:pt>
                <c:pt idx="2">
                  <c:v>1.3135117667846679</c:v>
                </c:pt>
                <c:pt idx="3">
                  <c:v>-0.91350516975053297</c:v>
                </c:pt>
                <c:pt idx="4">
                  <c:v>9.5696133216437218E-2</c:v>
                </c:pt>
                <c:pt idx="5">
                  <c:v>0.27750192750023794</c:v>
                </c:pt>
              </c:numCache>
            </c:numRef>
          </c:val>
          <c:extLst>
            <c:ext xmlns:c16="http://schemas.microsoft.com/office/drawing/2014/chart" uri="{C3380CC4-5D6E-409C-BE32-E72D297353CC}">
              <c16:uniqueId val="{00000003-A927-4075-848A-C0E0C3866A88}"/>
            </c:ext>
          </c:extLst>
        </c:ser>
        <c:dLbls>
          <c:showLegendKey val="0"/>
          <c:showVal val="0"/>
          <c:showCatName val="0"/>
          <c:showSerName val="0"/>
          <c:showPercent val="0"/>
          <c:showBubbleSize val="0"/>
        </c:dLbls>
        <c:gapWidth val="75"/>
        <c:overlap val="100"/>
        <c:axId val="225495696"/>
        <c:axId val="1"/>
      </c:barChart>
      <c:catAx>
        <c:axId val="225495696"/>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25495696"/>
        <c:crosses val="autoZero"/>
        <c:crossBetween val="between"/>
      </c:valAx>
      <c:spPr>
        <a:solidFill>
          <a:schemeClr val="bg1">
            <a:lumMod val="85000"/>
          </a:schemeClr>
        </a:solidFill>
      </c:spPr>
    </c:plotArea>
    <c:legend>
      <c:legendPos val="b"/>
      <c:layout>
        <c:manualLayout>
          <c:xMode val="edge"/>
          <c:yMode val="edge"/>
          <c:x val="5.4519368723098996E-2"/>
          <c:y val="0.93333499102085926"/>
          <c:w val="0.88522298414276401"/>
          <c:h val="5.2631578947368363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(HIDE)'!$A$34</c:f>
          <c:strCache>
            <c:ptCount val="1"/>
            <c:pt idx="0">
              <c:v>Manitoba - Monetizing Risk &amp; Reward ($/unit) - 2022</c:v>
            </c:pt>
          </c:strCache>
        </c:strRef>
      </c:tx>
      <c:overlay val="0"/>
      <c:txPr>
        <a:bodyPr/>
        <a:lstStyle/>
        <a:p>
          <a:pPr>
            <a:defRPr sz="1800" b="1" i="0" u="none" strike="noStrike" baseline="0">
              <a:solidFill>
                <a:sysClr val="windowText" lastClr="000000"/>
              </a:solidFill>
              <a:latin typeface="Calibri"/>
              <a:ea typeface="Calibri"/>
              <a:cs typeface="Calibri"/>
            </a:defRPr>
          </a:pPr>
          <a:endParaRPr lang="en-US"/>
        </a:p>
      </c:txPr>
    </c:title>
    <c:autoTitleDeleted val="0"/>
    <c:plotArea>
      <c:layout/>
      <c:barChart>
        <c:barDir val="col"/>
        <c:grouping val="stacked"/>
        <c:varyColors val="0"/>
        <c:ser>
          <c:idx val="0"/>
          <c:order val="0"/>
          <c:tx>
            <c:strRef>
              <c:f>'Chart data (HIDE)'!$E$36</c:f>
              <c:strCache>
                <c:ptCount val="1"/>
                <c:pt idx="0">
                  <c:v>$/unit Covered By AgriInsurance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(HIDE)'!$A$37:$A$42</c:f>
              <c:strCache>
                <c:ptCount val="6"/>
                <c:pt idx="0">
                  <c:v>Canola</c:v>
                </c:pt>
                <c:pt idx="1">
                  <c:v>Wheat - Hard Red Spring</c:v>
                </c:pt>
                <c:pt idx="2">
                  <c:v>Soybeans</c:v>
                </c:pt>
                <c:pt idx="3">
                  <c:v>Barley</c:v>
                </c:pt>
                <c:pt idx="4">
                  <c:v>Oats</c:v>
                </c:pt>
                <c:pt idx="5">
                  <c:v>Corn</c:v>
                </c:pt>
              </c:strCache>
            </c:strRef>
          </c:cat>
          <c:val>
            <c:numRef>
              <c:f>'For PPT (HIDE)'!$CJ$29:$CJ$34</c:f>
              <c:numCache>
                <c:formatCode>"$"#,##0.00;\("$"#,##0.00\)</c:formatCode>
                <c:ptCount val="6"/>
                <c:pt idx="0">
                  <c:v>8.2606500000000018</c:v>
                </c:pt>
                <c:pt idx="1">
                  <c:v>0</c:v>
                </c:pt>
                <c:pt idx="2">
                  <c:v>0</c:v>
                </c:pt>
                <c:pt idx="3">
                  <c:v>0</c:v>
                </c:pt>
                <c:pt idx="4">
                  <c:v>0</c:v>
                </c:pt>
                <c:pt idx="5">
                  <c:v>0</c:v>
                </c:pt>
              </c:numCache>
            </c:numRef>
          </c:val>
          <c:extLst>
            <c:ext xmlns:c16="http://schemas.microsoft.com/office/drawing/2014/chart" uri="{C3380CC4-5D6E-409C-BE32-E72D297353CC}">
              <c16:uniqueId val="{00000000-2864-492B-9352-9DDCFE782633}"/>
            </c:ext>
          </c:extLst>
        </c:ser>
        <c:ser>
          <c:idx val="1"/>
          <c:order val="1"/>
          <c:tx>
            <c:strRef>
              <c:f>'Chart data (HIDE)'!$F$36</c:f>
              <c:strCache>
                <c:ptCount val="1"/>
                <c:pt idx="0">
                  <c:v>$/unit  Exposed Risk</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(HIDE)'!$A$37:$A$42</c:f>
              <c:strCache>
                <c:ptCount val="6"/>
                <c:pt idx="0">
                  <c:v>Canola</c:v>
                </c:pt>
                <c:pt idx="1">
                  <c:v>Wheat - Hard Red Spring</c:v>
                </c:pt>
                <c:pt idx="2">
                  <c:v>Soybeans</c:v>
                </c:pt>
                <c:pt idx="3">
                  <c:v>Barley</c:v>
                </c:pt>
                <c:pt idx="4">
                  <c:v>Oats</c:v>
                </c:pt>
                <c:pt idx="5">
                  <c:v>Corn</c:v>
                </c:pt>
              </c:strCache>
            </c:strRef>
          </c:cat>
          <c:val>
            <c:numRef>
              <c:f>'Chart data (HIDE)'!$F$37:$F$42</c:f>
              <c:numCache>
                <c:formatCode>"$"#,##0.00</c:formatCode>
                <c:ptCount val="6"/>
                <c:pt idx="0">
                  <c:v>1.9815990232095224</c:v>
                </c:pt>
              </c:numCache>
            </c:numRef>
          </c:val>
          <c:extLst>
            <c:ext xmlns:c16="http://schemas.microsoft.com/office/drawing/2014/chart" uri="{C3380CC4-5D6E-409C-BE32-E72D297353CC}">
              <c16:uniqueId val="{00000001-2864-492B-9352-9DDCFE782633}"/>
            </c:ext>
          </c:extLst>
        </c:ser>
        <c:ser>
          <c:idx val="2"/>
          <c:order val="2"/>
          <c:tx>
            <c:strRef>
              <c:f>'Chart data (HIDE)'!$G$36</c:f>
              <c:strCache>
                <c:ptCount val="1"/>
                <c:pt idx="0">
                  <c:v>$/unit Reward</c:v>
                </c:pt>
              </c:strCache>
            </c:strRef>
          </c:tx>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(HIDE)'!$A$37:$A$42</c:f>
              <c:strCache>
                <c:ptCount val="6"/>
                <c:pt idx="0">
                  <c:v>Canola</c:v>
                </c:pt>
                <c:pt idx="1">
                  <c:v>Wheat - Hard Red Spring</c:v>
                </c:pt>
                <c:pt idx="2">
                  <c:v>Soybeans</c:v>
                </c:pt>
                <c:pt idx="3">
                  <c:v>Barley</c:v>
                </c:pt>
                <c:pt idx="4">
                  <c:v>Oats</c:v>
                </c:pt>
                <c:pt idx="5">
                  <c:v>Corn</c:v>
                </c:pt>
              </c:strCache>
            </c:strRef>
          </c:cat>
          <c:val>
            <c:numRef>
              <c:f>'Chart data (HIDE)'!$G$37:$G$42</c:f>
              <c:numCache>
                <c:formatCode>"$"#,##0.00</c:formatCode>
                <c:ptCount val="6"/>
                <c:pt idx="0">
                  <c:v>1.0077509767904758</c:v>
                </c:pt>
              </c:numCache>
            </c:numRef>
          </c:val>
          <c:extLst>
            <c:ext xmlns:c16="http://schemas.microsoft.com/office/drawing/2014/chart" uri="{C3380CC4-5D6E-409C-BE32-E72D297353CC}">
              <c16:uniqueId val="{00000002-2864-492B-9352-9DDCFE782633}"/>
            </c:ext>
          </c:extLst>
        </c:ser>
        <c:dLbls>
          <c:showLegendKey val="0"/>
          <c:showVal val="0"/>
          <c:showCatName val="0"/>
          <c:showSerName val="0"/>
          <c:showPercent val="0"/>
          <c:showBubbleSize val="0"/>
        </c:dLbls>
        <c:gapWidth val="75"/>
        <c:overlap val="100"/>
        <c:axId val="225490776"/>
        <c:axId val="1"/>
      </c:barChart>
      <c:catAx>
        <c:axId val="225490776"/>
        <c:scaling>
          <c:orientation val="minMax"/>
        </c:scaling>
        <c:delete val="0"/>
        <c:axPos val="b"/>
        <c:numFmt formatCode="General" sourceLinked="1"/>
        <c:majorTickMark val="none"/>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$/unit</a:t>
                </a:r>
              </a:p>
            </c:rich>
          </c:tx>
          <c:overlay val="0"/>
        </c:title>
        <c:numFmt formatCode="&quot;$&quot;#,##0.00;\(&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25490776"/>
        <c:crosses val="autoZero"/>
        <c:crossBetween val="between"/>
      </c:valAx>
      <c:spPr>
        <a:solidFill>
          <a:schemeClr val="bg1">
            <a:lumMod val="85000"/>
          </a:schemeClr>
        </a:solidFill>
      </c:spPr>
    </c:plotArea>
    <c:legend>
      <c:legendPos val="b"/>
      <c:layout>
        <c:manualLayout>
          <c:xMode val="edge"/>
          <c:yMode val="edge"/>
          <c:x val="5.4519368723098996E-2"/>
          <c:y val="0.93321616871704749"/>
          <c:w val="0.88522298414276401"/>
          <c:h val="5.2724077328646701E-2"/>
        </c:manualLayout>
      </c:layout>
      <c:overlay val="0"/>
      <c:txPr>
        <a:bodyPr/>
        <a:lstStyle/>
        <a:p>
          <a:pPr>
            <a:defRPr sz="12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'Chart data (HIDE)'!$A$51</c:f>
          <c:strCache>
            <c:ptCount val="1"/>
            <c:pt idx="0">
              <c:v>Manitoba - Breakeven Land Rent Calculation - 2022</c:v>
            </c:pt>
          </c:strCache>
        </c:strRef>
      </c:tx>
      <c:overlay val="0"/>
      <c:spPr>
        <a:solidFill>
          <a:sysClr val="window" lastClr="FFFFFF"/>
        </a:solidFill>
      </c:spPr>
      <c:txPr>
        <a:bodyPr/>
        <a:lstStyle/>
        <a:p>
          <a:pPr>
            <a:defRPr sz="20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7983094318533375"/>
          <c:h val="0.64897809079047464"/>
        </c:manualLayout>
      </c:layout>
      <c:barChart>
        <c:barDir val="col"/>
        <c:grouping val="clustered"/>
        <c:varyColors val="0"/>
        <c:ser>
          <c:idx val="0"/>
          <c:order val="0"/>
          <c:tx>
            <c:strRef>
              <c:f>'Chart data (HIDE)'!$B$52</c:f>
              <c:strCache>
                <c:ptCount val="1"/>
                <c:pt idx="0">
                  <c:v>Maximum Available for Land Rent</c:v>
                </c:pt>
              </c:strCache>
            </c:strRef>
          </c:tx>
          <c:spPr>
            <a:solidFill>
              <a:schemeClr val="accent1"/>
            </a:solidFill>
            <a:ln>
              <a:solidFill>
                <a:schemeClr val="tx1"/>
              </a:soli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data (HIDE)'!$A$53:$A$55</c:f>
              <c:strCache>
                <c:ptCount val="3"/>
                <c:pt idx="0">
                  <c:v>Canola</c:v>
                </c:pt>
                <c:pt idx="1">
                  <c:v>Wheat - Hard Red Spring</c:v>
                </c:pt>
                <c:pt idx="2">
                  <c:v>Soybeans</c:v>
                </c:pt>
              </c:strCache>
            </c:strRef>
          </c:cat>
          <c:val>
            <c:numRef>
              <c:f>'Chart data (HIDE)'!$B$53:$B$55</c:f>
              <c:numCache>
                <c:formatCode>"$"#,##0</c:formatCode>
                <c:ptCount val="3"/>
                <c:pt idx="0">
                  <c:v>104.99003907161904</c:v>
                </c:pt>
                <c:pt idx="1">
                  <c:v>75.104782343344027</c:v>
                </c:pt>
                <c:pt idx="2">
                  <c:v>117.22047067138675</c:v>
                </c:pt>
              </c:numCache>
            </c:numRef>
          </c:val>
          <c:extLst>
            <c:ext xmlns:c16="http://schemas.microsoft.com/office/drawing/2014/chart" uri="{C3380CC4-5D6E-409C-BE32-E72D297353CC}">
              <c16:uniqueId val="{00000000-BD4F-4780-82F8-838828C367B1}"/>
            </c:ext>
          </c:extLst>
        </c:ser>
        <c:dLbls>
          <c:showLegendKey val="0"/>
          <c:showVal val="0"/>
          <c:showCatName val="0"/>
          <c:showSerName val="0"/>
          <c:showPercent val="0"/>
          <c:showBubbleSize val="0"/>
        </c:dLbls>
        <c:gapWidth val="150"/>
        <c:axId val="225492744"/>
        <c:axId val="1"/>
      </c:barChart>
      <c:catAx>
        <c:axId val="225492744"/>
        <c:scaling>
          <c:orientation val="minMax"/>
        </c:scaling>
        <c:delete val="0"/>
        <c:axPos val="b"/>
        <c:numFmt formatCode="General"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$/Acre </a:t>
                </a:r>
              </a:p>
            </c:rich>
          </c:tx>
          <c:overlay val="0"/>
        </c:title>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5492744"/>
        <c:crosses val="autoZero"/>
        <c:crossBetween val="between"/>
      </c:valAx>
      <c:spPr>
        <a:solidFill>
          <a:schemeClr val="bg1">
            <a:lumMod val="95000"/>
          </a:schemeClr>
        </a:solidFill>
      </c:spPr>
    </c:plotArea>
    <c:legend>
      <c:legendPos val="r"/>
      <c:layout>
        <c:manualLayout>
          <c:xMode val="edge"/>
          <c:yMode val="edge"/>
          <c:x val="0.20325231703760607"/>
          <c:y val="0.8577162724398929"/>
          <c:w val="0.59485180206132771"/>
          <c:h val="9.2184368737474931E-2"/>
        </c:manualLayout>
      </c:layout>
      <c:overlay val="0"/>
      <c:txPr>
        <a:bodyPr/>
        <a:lstStyle/>
        <a:p>
          <a:pPr>
            <a:defRPr sz="14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hyperlink" Target="https://www.gov.mb.ca/agriculture/farm-management/cost-production/index.html" TargetMode="External"/><Relationship Id="rId2" Type="http://schemas.openxmlformats.org/officeDocument/2006/relationships/hyperlink" Target="https://www.gov.mb.ca/agriculture/farm-management/farm-machinery/index.html" TargetMode="External"/><Relationship Id="rId1" Type="http://schemas.openxmlformats.org/officeDocument/2006/relationships/image" Target="../media/image1.jpeg"/><Relationship Id="rId6" Type="http://schemas.openxmlformats.org/officeDocument/2006/relationships/image" Target="../media/image3.JPG"/><Relationship Id="rId5" Type="http://schemas.openxmlformats.org/officeDocument/2006/relationships/hyperlink" Target="https://www.gov.mb.ca/agriculture/farm-management/farm-business-management-contacts.html" TargetMode="External"/><Relationship Id="rId4"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3" Type="http://schemas.openxmlformats.org/officeDocument/2006/relationships/chart" Target="../charts/chart30.xml"/><Relationship Id="rId18" Type="http://schemas.openxmlformats.org/officeDocument/2006/relationships/chart" Target="../charts/chart35.xml"/><Relationship Id="rId26" Type="http://schemas.openxmlformats.org/officeDocument/2006/relationships/chart" Target="../charts/chart43.xml"/><Relationship Id="rId39" Type="http://schemas.openxmlformats.org/officeDocument/2006/relationships/chart" Target="../charts/chart56.xml"/><Relationship Id="rId3" Type="http://schemas.openxmlformats.org/officeDocument/2006/relationships/chart" Target="../charts/chart20.xml"/><Relationship Id="rId21" Type="http://schemas.openxmlformats.org/officeDocument/2006/relationships/chart" Target="../charts/chart38.xml"/><Relationship Id="rId34" Type="http://schemas.openxmlformats.org/officeDocument/2006/relationships/chart" Target="../charts/chart51.xml"/><Relationship Id="rId42" Type="http://schemas.openxmlformats.org/officeDocument/2006/relationships/chart" Target="../charts/chart59.xml"/><Relationship Id="rId47" Type="http://schemas.openxmlformats.org/officeDocument/2006/relationships/chart" Target="../charts/chart64.xml"/><Relationship Id="rId50" Type="http://schemas.openxmlformats.org/officeDocument/2006/relationships/chart" Target="../charts/chart67.xml"/><Relationship Id="rId7" Type="http://schemas.openxmlformats.org/officeDocument/2006/relationships/chart" Target="../charts/chart24.xml"/><Relationship Id="rId12" Type="http://schemas.openxmlformats.org/officeDocument/2006/relationships/chart" Target="../charts/chart29.xml"/><Relationship Id="rId17" Type="http://schemas.openxmlformats.org/officeDocument/2006/relationships/chart" Target="../charts/chart34.xml"/><Relationship Id="rId25" Type="http://schemas.openxmlformats.org/officeDocument/2006/relationships/chart" Target="../charts/chart42.xml"/><Relationship Id="rId33" Type="http://schemas.openxmlformats.org/officeDocument/2006/relationships/chart" Target="../charts/chart50.xml"/><Relationship Id="rId38" Type="http://schemas.openxmlformats.org/officeDocument/2006/relationships/chart" Target="../charts/chart55.xml"/><Relationship Id="rId46" Type="http://schemas.openxmlformats.org/officeDocument/2006/relationships/chart" Target="../charts/chart63.xml"/><Relationship Id="rId2" Type="http://schemas.openxmlformats.org/officeDocument/2006/relationships/chart" Target="../charts/chart19.xml"/><Relationship Id="rId16" Type="http://schemas.openxmlformats.org/officeDocument/2006/relationships/chart" Target="../charts/chart33.xml"/><Relationship Id="rId20" Type="http://schemas.openxmlformats.org/officeDocument/2006/relationships/chart" Target="../charts/chart37.xml"/><Relationship Id="rId29" Type="http://schemas.openxmlformats.org/officeDocument/2006/relationships/chart" Target="../charts/chart46.xml"/><Relationship Id="rId41" Type="http://schemas.openxmlformats.org/officeDocument/2006/relationships/chart" Target="../charts/chart58.xml"/><Relationship Id="rId1" Type="http://schemas.openxmlformats.org/officeDocument/2006/relationships/chart" Target="../charts/chart18.xml"/><Relationship Id="rId6" Type="http://schemas.openxmlformats.org/officeDocument/2006/relationships/chart" Target="../charts/chart23.xml"/><Relationship Id="rId11" Type="http://schemas.openxmlformats.org/officeDocument/2006/relationships/chart" Target="../charts/chart28.xml"/><Relationship Id="rId24" Type="http://schemas.openxmlformats.org/officeDocument/2006/relationships/chart" Target="../charts/chart41.xml"/><Relationship Id="rId32" Type="http://schemas.openxmlformats.org/officeDocument/2006/relationships/chart" Target="../charts/chart49.xml"/><Relationship Id="rId37" Type="http://schemas.openxmlformats.org/officeDocument/2006/relationships/chart" Target="../charts/chart54.xml"/><Relationship Id="rId40" Type="http://schemas.openxmlformats.org/officeDocument/2006/relationships/chart" Target="../charts/chart57.xml"/><Relationship Id="rId45" Type="http://schemas.openxmlformats.org/officeDocument/2006/relationships/chart" Target="../charts/chart62.xml"/><Relationship Id="rId5" Type="http://schemas.openxmlformats.org/officeDocument/2006/relationships/chart" Target="../charts/chart22.xml"/><Relationship Id="rId15" Type="http://schemas.openxmlformats.org/officeDocument/2006/relationships/chart" Target="../charts/chart32.xml"/><Relationship Id="rId23" Type="http://schemas.openxmlformats.org/officeDocument/2006/relationships/chart" Target="../charts/chart40.xml"/><Relationship Id="rId28" Type="http://schemas.openxmlformats.org/officeDocument/2006/relationships/chart" Target="../charts/chart45.xml"/><Relationship Id="rId36" Type="http://schemas.openxmlformats.org/officeDocument/2006/relationships/chart" Target="../charts/chart53.xml"/><Relationship Id="rId49" Type="http://schemas.openxmlformats.org/officeDocument/2006/relationships/chart" Target="../charts/chart66.xml"/><Relationship Id="rId10" Type="http://schemas.openxmlformats.org/officeDocument/2006/relationships/chart" Target="../charts/chart27.xml"/><Relationship Id="rId19" Type="http://schemas.openxmlformats.org/officeDocument/2006/relationships/chart" Target="../charts/chart36.xml"/><Relationship Id="rId31" Type="http://schemas.openxmlformats.org/officeDocument/2006/relationships/chart" Target="../charts/chart48.xml"/><Relationship Id="rId44" Type="http://schemas.openxmlformats.org/officeDocument/2006/relationships/chart" Target="../charts/chart61.xml"/><Relationship Id="rId4" Type="http://schemas.openxmlformats.org/officeDocument/2006/relationships/chart" Target="../charts/chart21.xml"/><Relationship Id="rId9" Type="http://schemas.openxmlformats.org/officeDocument/2006/relationships/chart" Target="../charts/chart26.xml"/><Relationship Id="rId14" Type="http://schemas.openxmlformats.org/officeDocument/2006/relationships/chart" Target="../charts/chart31.xml"/><Relationship Id="rId22" Type="http://schemas.openxmlformats.org/officeDocument/2006/relationships/chart" Target="../charts/chart39.xml"/><Relationship Id="rId27" Type="http://schemas.openxmlformats.org/officeDocument/2006/relationships/chart" Target="../charts/chart44.xml"/><Relationship Id="rId30" Type="http://schemas.openxmlformats.org/officeDocument/2006/relationships/chart" Target="../charts/chart47.xml"/><Relationship Id="rId35" Type="http://schemas.openxmlformats.org/officeDocument/2006/relationships/chart" Target="../charts/chart52.xml"/><Relationship Id="rId43" Type="http://schemas.openxmlformats.org/officeDocument/2006/relationships/chart" Target="../charts/chart60.xml"/><Relationship Id="rId48" Type="http://schemas.openxmlformats.org/officeDocument/2006/relationships/chart" Target="../charts/chart65.xml"/><Relationship Id="rId8"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hyperlink" Target="https://www.gov.mb.ca/agriculture/farm-management/farm-business-management-contacts.html"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7</xdr:col>
      <xdr:colOff>342900</xdr:colOff>
      <xdr:row>0</xdr:row>
      <xdr:rowOff>171450</xdr:rowOff>
    </xdr:from>
    <xdr:to>
      <xdr:col>9</xdr:col>
      <xdr:colOff>180975</xdr:colOff>
      <xdr:row>2</xdr:row>
      <xdr:rowOff>123825</xdr:rowOff>
    </xdr:to>
    <xdr:pic>
      <xdr:nvPicPr>
        <xdr:cNvPr id="4695" name="Picture 2" descr="Government of Manitoba logo.">
          <a:extLst>
            <a:ext uri="{FF2B5EF4-FFF2-40B4-BE49-F238E27FC236}">
              <a16:creationId xmlns:a16="http://schemas.microsoft.com/office/drawing/2014/main" id="{00000000-0008-0000-0000-0000571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171450"/>
          <a:ext cx="16954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266701</xdr:colOff>
      <xdr:row>37</xdr:row>
      <xdr:rowOff>209550</xdr:rowOff>
    </xdr:from>
    <xdr:to>
      <xdr:col>7</xdr:col>
      <xdr:colOff>276225</xdr:colOff>
      <xdr:row>39</xdr:row>
      <xdr:rowOff>19049</xdr:rowOff>
    </xdr:to>
    <xdr:sp macro="" textlink="">
      <xdr:nvSpPr>
        <xdr:cNvPr id="7" name="TextBox 6">
          <a:hlinkClick xmlns:r="http://schemas.openxmlformats.org/officeDocument/2006/relationships" r:id="rId2" tooltip="Click here for Farm Machinery Custom and Rental Rate Guide"/>
          <a:extLst>
            <a:ext uri="{FF2B5EF4-FFF2-40B4-BE49-F238E27FC236}">
              <a16:creationId xmlns:a16="http://schemas.microsoft.com/office/drawing/2014/main" id="{00000000-0008-0000-0000-000007000000}"/>
            </a:ext>
          </a:extLst>
        </xdr:cNvPr>
        <xdr:cNvSpPr txBox="1"/>
      </xdr:nvSpPr>
      <xdr:spPr>
        <a:xfrm>
          <a:off x="266701" y="8315325"/>
          <a:ext cx="4733924" cy="266699"/>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400" b="0" i="1" u="sng" baseline="0">
              <a:solidFill>
                <a:srgbClr val="0000FF"/>
              </a:solidFill>
              <a:uFill>
                <a:solidFill>
                  <a:srgbClr val="0000FF"/>
                </a:solidFill>
              </a:uFill>
              <a:latin typeface="Arial" pitchFamily="34" charset="0"/>
              <a:cs typeface="Arial" pitchFamily="34" charset="0"/>
            </a:rPr>
            <a:t>The Farm Machinery Custom and Rental Rate Guide</a:t>
          </a:r>
          <a:endParaRPr lang="en-CA" sz="1400" b="0" i="1" u="none" baseline="0">
            <a:solidFill>
              <a:sysClr val="windowText" lastClr="000000"/>
            </a:solidFill>
            <a:latin typeface="Arial" pitchFamily="34" charset="0"/>
            <a:cs typeface="Arial" pitchFamily="34" charset="0"/>
          </a:endParaRPr>
        </a:p>
      </xdr:txBody>
    </xdr:sp>
    <xdr:clientData/>
  </xdr:twoCellAnchor>
  <xdr:twoCellAnchor editAs="oneCell">
    <xdr:from>
      <xdr:col>4</xdr:col>
      <xdr:colOff>685800</xdr:colOff>
      <xdr:row>32</xdr:row>
      <xdr:rowOff>27957</xdr:rowOff>
    </xdr:from>
    <xdr:to>
      <xdr:col>6</xdr:col>
      <xdr:colOff>495300</xdr:colOff>
      <xdr:row>37</xdr:row>
      <xdr:rowOff>36813</xdr:rowOff>
    </xdr:to>
    <xdr:pic>
      <xdr:nvPicPr>
        <xdr:cNvPr id="10" name="Picture 1" descr="QR code leading to cost of production calculators.">
          <a:hlinkClick xmlns:r="http://schemas.openxmlformats.org/officeDocument/2006/relationships" r:id="rId3" tooltip="Click here for list of Cost of Production Guides"/>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3209925" y="6924057"/>
          <a:ext cx="1162050" cy="1151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85725</xdr:colOff>
      <xdr:row>41</xdr:row>
      <xdr:rowOff>28575</xdr:rowOff>
    </xdr:from>
    <xdr:to>
      <xdr:col>8</xdr:col>
      <xdr:colOff>85725</xdr:colOff>
      <xdr:row>45</xdr:row>
      <xdr:rowOff>132936</xdr:rowOff>
    </xdr:to>
    <xdr:pic>
      <xdr:nvPicPr>
        <xdr:cNvPr id="13" name="Picture 12" descr="Details on how to contact a Farm Management Specialist.">
          <a:hlinkClick xmlns:r="http://schemas.openxmlformats.org/officeDocument/2006/relationships" r:id="rId5" tooltip="Click here for a list of Farm Management contacts."/>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52525" y="9048750"/>
          <a:ext cx="4572000" cy="101876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0.75345</cdr:x>
      <cdr:y>0.94451</cdr:y>
    </cdr:from>
    <cdr:to>
      <cdr:x>0.99613</cdr:x>
      <cdr:y>0.99616</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11.xml><?xml version="1.0" encoding="utf-8"?>
<c:userShapes xmlns:c="http://schemas.openxmlformats.org/drawingml/2006/chart">
  <cdr:relSizeAnchor xmlns:cdr="http://schemas.openxmlformats.org/drawingml/2006/chartDrawing">
    <cdr:from>
      <cdr:x>0.7542</cdr:x>
      <cdr:y>0.94329</cdr:y>
    </cdr:from>
    <cdr:to>
      <cdr:x>0.99613</cdr:x>
      <cdr:y>0.9964</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12.xml><?xml version="1.0" encoding="utf-8"?>
<c:userShapes xmlns:c="http://schemas.openxmlformats.org/drawingml/2006/chart">
  <cdr:relSizeAnchor xmlns:cdr="http://schemas.openxmlformats.org/drawingml/2006/chartDrawing">
    <cdr:from>
      <cdr:x>0.79765</cdr:x>
      <cdr:y>0.957</cdr:y>
    </cdr:from>
    <cdr:to>
      <cdr:x>0.99386</cdr:x>
      <cdr:y>0.99982</cdr:y>
    </cdr:to>
    <cdr:sp macro="" textlink="">
      <cdr:nvSpPr>
        <cdr:cNvPr id="2" name="TextBox 7"/>
        <cdr:cNvSpPr txBox="1"/>
      </cdr:nvSpPr>
      <cdr:spPr>
        <a:xfrm xmlns:a="http://schemas.openxmlformats.org/drawingml/2006/main">
          <a:off x="5810250" y="5322093"/>
          <a:ext cx="1418112" cy="238125"/>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CA" sz="1050" b="1"/>
            <a:t>Manitoba Agriculture</a:t>
          </a:r>
        </a:p>
      </cdr:txBody>
    </cdr:sp>
  </cdr:relSizeAnchor>
</c:userShapes>
</file>

<file path=xl/drawings/drawing13.xml><?xml version="1.0" encoding="utf-8"?>
<c:userShapes xmlns:c="http://schemas.openxmlformats.org/drawingml/2006/chart">
  <cdr:relSizeAnchor xmlns:cdr="http://schemas.openxmlformats.org/drawingml/2006/chartDrawing">
    <cdr:from>
      <cdr:x>0.77842</cdr:x>
      <cdr:y>0.95929</cdr:y>
    </cdr:from>
    <cdr:to>
      <cdr:x>0.99044</cdr:x>
      <cdr:y>0.99036</cdr:y>
    </cdr:to>
    <cdr:sp macro="" textlink="">
      <cdr:nvSpPr>
        <cdr:cNvPr id="2" name="TextBox 7"/>
        <cdr:cNvSpPr txBox="1"/>
      </cdr:nvSpPr>
      <cdr:spPr>
        <a:xfrm xmlns:a="http://schemas.openxmlformats.org/drawingml/2006/main">
          <a:off x="5459073" y="6041572"/>
          <a:ext cx="1504523" cy="200498"/>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CA" sz="1050" b="1"/>
            <a:t>Manitoba Agriculture</a:t>
          </a:r>
        </a:p>
      </cdr:txBody>
    </cdr:sp>
  </cdr:relSizeAnchor>
</c:userShapes>
</file>

<file path=xl/drawings/drawing14.xml><?xml version="1.0" encoding="utf-8"?>
<c:userShapes xmlns:c="http://schemas.openxmlformats.org/drawingml/2006/chart">
  <cdr:relSizeAnchor xmlns:cdr="http://schemas.openxmlformats.org/drawingml/2006/chartDrawing">
    <cdr:from>
      <cdr:x>0.785</cdr:x>
      <cdr:y>0.95825</cdr:y>
    </cdr:from>
    <cdr:to>
      <cdr:x>0.78574</cdr:x>
      <cdr:y>0.958</cdr:y>
    </cdr:to>
    <cdr:sp macro="" textlink="">
      <cdr:nvSpPr>
        <cdr:cNvPr id="2" name="TextBox 1"/>
        <cdr:cNvSpPr txBox="1"/>
      </cdr:nvSpPr>
      <cdr:spPr>
        <a:xfrm xmlns:a="http://schemas.openxmlformats.org/drawingml/2006/main">
          <a:off x="5179218" y="5143501"/>
          <a:ext cx="1455625" cy="251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15.xml><?xml version="1.0" encoding="utf-8"?>
<c:userShapes xmlns:c="http://schemas.openxmlformats.org/drawingml/2006/chart">
  <cdr:relSizeAnchor xmlns:cdr="http://schemas.openxmlformats.org/drawingml/2006/chartDrawing">
    <cdr:from>
      <cdr:x>0.78679</cdr:x>
      <cdr:y>0.95978</cdr:y>
    </cdr:from>
    <cdr:to>
      <cdr:x>0.78704</cdr:x>
      <cdr:y>0.95929</cdr:y>
    </cdr:to>
    <cdr:sp macro="" textlink="">
      <cdr:nvSpPr>
        <cdr:cNvPr id="2" name="TextBox 1"/>
        <cdr:cNvSpPr txBox="1"/>
      </cdr:nvSpPr>
      <cdr:spPr>
        <a:xfrm xmlns:a="http://schemas.openxmlformats.org/drawingml/2006/main">
          <a:off x="5278550" y="4796328"/>
          <a:ext cx="1455625" cy="251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190500</xdr:colOff>
      <xdr:row>25</xdr:row>
      <xdr:rowOff>161925</xdr:rowOff>
    </xdr:from>
    <xdr:to>
      <xdr:col>8</xdr:col>
      <xdr:colOff>533400</xdr:colOff>
      <xdr:row>47</xdr:row>
      <xdr:rowOff>133350</xdr:rowOff>
    </xdr:to>
    <xdr:graphicFrame macro="">
      <xdr:nvGraphicFramePr>
        <xdr:cNvPr id="3918683" name="Chart 2">
          <a:extLst>
            <a:ext uri="{FF2B5EF4-FFF2-40B4-BE49-F238E27FC236}">
              <a16:creationId xmlns:a16="http://schemas.microsoft.com/office/drawing/2014/main" id="{00000000-0008-0000-0700-00005B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123825</xdr:colOff>
      <xdr:row>25</xdr:row>
      <xdr:rowOff>219075</xdr:rowOff>
    </xdr:from>
    <xdr:to>
      <xdr:col>20</xdr:col>
      <xdr:colOff>847725</xdr:colOff>
      <xdr:row>47</xdr:row>
      <xdr:rowOff>209550</xdr:rowOff>
    </xdr:to>
    <xdr:graphicFrame macro="">
      <xdr:nvGraphicFramePr>
        <xdr:cNvPr id="3918684" name="Chart 4">
          <a:extLst>
            <a:ext uri="{FF2B5EF4-FFF2-40B4-BE49-F238E27FC236}">
              <a16:creationId xmlns:a16="http://schemas.microsoft.com/office/drawing/2014/main" id="{00000000-0008-0000-0700-00005C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581025</xdr:colOff>
      <xdr:row>228</xdr:row>
      <xdr:rowOff>0</xdr:rowOff>
    </xdr:from>
    <xdr:to>
      <xdr:col>15</xdr:col>
      <xdr:colOff>504825</xdr:colOff>
      <xdr:row>243</xdr:row>
      <xdr:rowOff>95250</xdr:rowOff>
    </xdr:to>
    <xdr:graphicFrame macro="">
      <xdr:nvGraphicFramePr>
        <xdr:cNvPr id="3918685" name="Chart 5">
          <a:extLst>
            <a:ext uri="{FF2B5EF4-FFF2-40B4-BE49-F238E27FC236}">
              <a16:creationId xmlns:a16="http://schemas.microsoft.com/office/drawing/2014/main" id="{00000000-0008-0000-0700-00005D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114300</xdr:colOff>
      <xdr:row>227</xdr:row>
      <xdr:rowOff>47625</xdr:rowOff>
    </xdr:from>
    <xdr:to>
      <xdr:col>7</xdr:col>
      <xdr:colOff>200025</xdr:colOff>
      <xdr:row>246</xdr:row>
      <xdr:rowOff>180975</xdr:rowOff>
    </xdr:to>
    <xdr:graphicFrame macro="">
      <xdr:nvGraphicFramePr>
        <xdr:cNvPr id="3918686" name="Chart 6">
          <a:extLst>
            <a:ext uri="{FF2B5EF4-FFF2-40B4-BE49-F238E27FC236}">
              <a16:creationId xmlns:a16="http://schemas.microsoft.com/office/drawing/2014/main" id="{00000000-0008-0000-0700-00005E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xdr:colOff>
      <xdr:row>48</xdr:row>
      <xdr:rowOff>95250</xdr:rowOff>
    </xdr:from>
    <xdr:to>
      <xdr:col>11</xdr:col>
      <xdr:colOff>571500</xdr:colOff>
      <xdr:row>70</xdr:row>
      <xdr:rowOff>123825</xdr:rowOff>
    </xdr:to>
    <xdr:graphicFrame macro="">
      <xdr:nvGraphicFramePr>
        <xdr:cNvPr id="3918687" name="Chart 3">
          <a:extLst>
            <a:ext uri="{FF2B5EF4-FFF2-40B4-BE49-F238E27FC236}">
              <a16:creationId xmlns:a16="http://schemas.microsoft.com/office/drawing/2014/main" id="{00000000-0008-0000-0700-00005F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49</xdr:row>
      <xdr:rowOff>0</xdr:rowOff>
    </xdr:from>
    <xdr:to>
      <xdr:col>22</xdr:col>
      <xdr:colOff>561975</xdr:colOff>
      <xdr:row>72</xdr:row>
      <xdr:rowOff>104775</xdr:rowOff>
    </xdr:to>
    <xdr:graphicFrame macro="">
      <xdr:nvGraphicFramePr>
        <xdr:cNvPr id="3918688" name="Chart 2">
          <a:extLst>
            <a:ext uri="{FF2B5EF4-FFF2-40B4-BE49-F238E27FC236}">
              <a16:creationId xmlns:a16="http://schemas.microsoft.com/office/drawing/2014/main" id="{00000000-0008-0000-0700-000060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0</xdr:colOff>
      <xdr:row>49</xdr:row>
      <xdr:rowOff>0</xdr:rowOff>
    </xdr:from>
    <xdr:to>
      <xdr:col>30</xdr:col>
      <xdr:colOff>238125</xdr:colOff>
      <xdr:row>72</xdr:row>
      <xdr:rowOff>133350</xdr:rowOff>
    </xdr:to>
    <xdr:graphicFrame macro="">
      <xdr:nvGraphicFramePr>
        <xdr:cNvPr id="3918689" name="Chart 4">
          <a:extLst>
            <a:ext uri="{FF2B5EF4-FFF2-40B4-BE49-F238E27FC236}">
              <a16:creationId xmlns:a16="http://schemas.microsoft.com/office/drawing/2014/main" id="{00000000-0008-0000-0700-000061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xdr:col>
      <xdr:colOff>0</xdr:colOff>
      <xdr:row>49</xdr:row>
      <xdr:rowOff>0</xdr:rowOff>
    </xdr:from>
    <xdr:to>
      <xdr:col>38</xdr:col>
      <xdr:colOff>57150</xdr:colOff>
      <xdr:row>72</xdr:row>
      <xdr:rowOff>133350</xdr:rowOff>
    </xdr:to>
    <xdr:graphicFrame macro="">
      <xdr:nvGraphicFramePr>
        <xdr:cNvPr id="3918690" name="Chart 4">
          <a:extLst>
            <a:ext uri="{FF2B5EF4-FFF2-40B4-BE49-F238E27FC236}">
              <a16:creationId xmlns:a16="http://schemas.microsoft.com/office/drawing/2014/main" id="{00000000-0008-0000-0700-000062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0</xdr:colOff>
      <xdr:row>49</xdr:row>
      <xdr:rowOff>0</xdr:rowOff>
    </xdr:from>
    <xdr:to>
      <xdr:col>45</xdr:col>
      <xdr:colOff>885825</xdr:colOff>
      <xdr:row>72</xdr:row>
      <xdr:rowOff>133350</xdr:rowOff>
    </xdr:to>
    <xdr:graphicFrame macro="">
      <xdr:nvGraphicFramePr>
        <xdr:cNvPr id="3918691" name="Chart 4">
          <a:extLst>
            <a:ext uri="{FF2B5EF4-FFF2-40B4-BE49-F238E27FC236}">
              <a16:creationId xmlns:a16="http://schemas.microsoft.com/office/drawing/2014/main" id="{00000000-0008-0000-0700-000063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0</xdr:colOff>
      <xdr:row>74</xdr:row>
      <xdr:rowOff>0</xdr:rowOff>
    </xdr:from>
    <xdr:to>
      <xdr:col>30</xdr:col>
      <xdr:colOff>238125</xdr:colOff>
      <xdr:row>101</xdr:row>
      <xdr:rowOff>9525</xdr:rowOff>
    </xdr:to>
    <xdr:graphicFrame macro="">
      <xdr:nvGraphicFramePr>
        <xdr:cNvPr id="3918692" name="Chart 4">
          <a:extLst>
            <a:ext uri="{FF2B5EF4-FFF2-40B4-BE49-F238E27FC236}">
              <a16:creationId xmlns:a16="http://schemas.microsoft.com/office/drawing/2014/main" id="{00000000-0008-0000-0700-000064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23</xdr:col>
      <xdr:colOff>0</xdr:colOff>
      <xdr:row>102</xdr:row>
      <xdr:rowOff>0</xdr:rowOff>
    </xdr:from>
    <xdr:to>
      <xdr:col>30</xdr:col>
      <xdr:colOff>238125</xdr:colOff>
      <xdr:row>129</xdr:row>
      <xdr:rowOff>104775</xdr:rowOff>
    </xdr:to>
    <xdr:graphicFrame macro="">
      <xdr:nvGraphicFramePr>
        <xdr:cNvPr id="3918693" name="Chart 4">
          <a:extLst>
            <a:ext uri="{FF2B5EF4-FFF2-40B4-BE49-F238E27FC236}">
              <a16:creationId xmlns:a16="http://schemas.microsoft.com/office/drawing/2014/main" id="{00000000-0008-0000-0700-000065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31</xdr:col>
      <xdr:colOff>0</xdr:colOff>
      <xdr:row>74</xdr:row>
      <xdr:rowOff>0</xdr:rowOff>
    </xdr:from>
    <xdr:to>
      <xdr:col>38</xdr:col>
      <xdr:colOff>57150</xdr:colOff>
      <xdr:row>101</xdr:row>
      <xdr:rowOff>9525</xdr:rowOff>
    </xdr:to>
    <xdr:graphicFrame macro="">
      <xdr:nvGraphicFramePr>
        <xdr:cNvPr id="3918694" name="Chart 4">
          <a:extLst>
            <a:ext uri="{FF2B5EF4-FFF2-40B4-BE49-F238E27FC236}">
              <a16:creationId xmlns:a16="http://schemas.microsoft.com/office/drawing/2014/main" id="{00000000-0008-0000-0700-000066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39</xdr:col>
      <xdr:colOff>0</xdr:colOff>
      <xdr:row>74</xdr:row>
      <xdr:rowOff>0</xdr:rowOff>
    </xdr:from>
    <xdr:to>
      <xdr:col>45</xdr:col>
      <xdr:colOff>885825</xdr:colOff>
      <xdr:row>101</xdr:row>
      <xdr:rowOff>9525</xdr:rowOff>
    </xdr:to>
    <xdr:graphicFrame macro="">
      <xdr:nvGraphicFramePr>
        <xdr:cNvPr id="3918695" name="Chart 4">
          <a:extLst>
            <a:ext uri="{FF2B5EF4-FFF2-40B4-BE49-F238E27FC236}">
              <a16:creationId xmlns:a16="http://schemas.microsoft.com/office/drawing/2014/main" id="{00000000-0008-0000-0700-000067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39</xdr:col>
      <xdr:colOff>0</xdr:colOff>
      <xdr:row>102</xdr:row>
      <xdr:rowOff>0</xdr:rowOff>
    </xdr:from>
    <xdr:to>
      <xdr:col>45</xdr:col>
      <xdr:colOff>885825</xdr:colOff>
      <xdr:row>129</xdr:row>
      <xdr:rowOff>104775</xdr:rowOff>
    </xdr:to>
    <xdr:graphicFrame macro="">
      <xdr:nvGraphicFramePr>
        <xdr:cNvPr id="3918696" name="Chart 4">
          <a:extLst>
            <a:ext uri="{FF2B5EF4-FFF2-40B4-BE49-F238E27FC236}">
              <a16:creationId xmlns:a16="http://schemas.microsoft.com/office/drawing/2014/main" id="{00000000-0008-0000-0700-000068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47</xdr:col>
      <xdr:colOff>0</xdr:colOff>
      <xdr:row>49</xdr:row>
      <xdr:rowOff>0</xdr:rowOff>
    </xdr:from>
    <xdr:to>
      <xdr:col>53</xdr:col>
      <xdr:colOff>600075</xdr:colOff>
      <xdr:row>72</xdr:row>
      <xdr:rowOff>133350</xdr:rowOff>
    </xdr:to>
    <xdr:graphicFrame macro="">
      <xdr:nvGraphicFramePr>
        <xdr:cNvPr id="3918697" name="Chart 4">
          <a:extLst>
            <a:ext uri="{FF2B5EF4-FFF2-40B4-BE49-F238E27FC236}">
              <a16:creationId xmlns:a16="http://schemas.microsoft.com/office/drawing/2014/main" id="{00000000-0008-0000-0700-000069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47</xdr:col>
      <xdr:colOff>0</xdr:colOff>
      <xdr:row>74</xdr:row>
      <xdr:rowOff>0</xdr:rowOff>
    </xdr:from>
    <xdr:to>
      <xdr:col>53</xdr:col>
      <xdr:colOff>600075</xdr:colOff>
      <xdr:row>101</xdr:row>
      <xdr:rowOff>9525</xdr:rowOff>
    </xdr:to>
    <xdr:graphicFrame macro="">
      <xdr:nvGraphicFramePr>
        <xdr:cNvPr id="3918698" name="Chart 4">
          <a:extLst>
            <a:ext uri="{FF2B5EF4-FFF2-40B4-BE49-F238E27FC236}">
              <a16:creationId xmlns:a16="http://schemas.microsoft.com/office/drawing/2014/main" id="{00000000-0008-0000-0700-00006A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47</xdr:col>
      <xdr:colOff>0</xdr:colOff>
      <xdr:row>102</xdr:row>
      <xdr:rowOff>0</xdr:rowOff>
    </xdr:from>
    <xdr:to>
      <xdr:col>53</xdr:col>
      <xdr:colOff>600075</xdr:colOff>
      <xdr:row>129</xdr:row>
      <xdr:rowOff>104775</xdr:rowOff>
    </xdr:to>
    <xdr:graphicFrame macro="">
      <xdr:nvGraphicFramePr>
        <xdr:cNvPr id="3918699" name="Chart 4">
          <a:extLst>
            <a:ext uri="{FF2B5EF4-FFF2-40B4-BE49-F238E27FC236}">
              <a16:creationId xmlns:a16="http://schemas.microsoft.com/office/drawing/2014/main" id="{00000000-0008-0000-0700-00006B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54</xdr:col>
      <xdr:colOff>0</xdr:colOff>
      <xdr:row>49</xdr:row>
      <xdr:rowOff>0</xdr:rowOff>
    </xdr:from>
    <xdr:to>
      <xdr:col>63</xdr:col>
      <xdr:colOff>247650</xdr:colOff>
      <xdr:row>75</xdr:row>
      <xdr:rowOff>28575</xdr:rowOff>
    </xdr:to>
    <xdr:graphicFrame macro="">
      <xdr:nvGraphicFramePr>
        <xdr:cNvPr id="3918700" name="Chart 4">
          <a:extLst>
            <a:ext uri="{FF2B5EF4-FFF2-40B4-BE49-F238E27FC236}">
              <a16:creationId xmlns:a16="http://schemas.microsoft.com/office/drawing/2014/main" id="{00000000-0008-0000-0700-00006C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54</xdr:col>
      <xdr:colOff>0</xdr:colOff>
      <xdr:row>76</xdr:row>
      <xdr:rowOff>0</xdr:rowOff>
    </xdr:from>
    <xdr:to>
      <xdr:col>63</xdr:col>
      <xdr:colOff>485775</xdr:colOff>
      <xdr:row>106</xdr:row>
      <xdr:rowOff>57150</xdr:rowOff>
    </xdr:to>
    <xdr:graphicFrame macro="">
      <xdr:nvGraphicFramePr>
        <xdr:cNvPr id="3918701" name="Chart 4">
          <a:extLst>
            <a:ext uri="{FF2B5EF4-FFF2-40B4-BE49-F238E27FC236}">
              <a16:creationId xmlns:a16="http://schemas.microsoft.com/office/drawing/2014/main" id="{00000000-0008-0000-0700-00006D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31</xdr:col>
      <xdr:colOff>0</xdr:colOff>
      <xdr:row>102</xdr:row>
      <xdr:rowOff>0</xdr:rowOff>
    </xdr:from>
    <xdr:to>
      <xdr:col>38</xdr:col>
      <xdr:colOff>57150</xdr:colOff>
      <xdr:row>129</xdr:row>
      <xdr:rowOff>104775</xdr:rowOff>
    </xdr:to>
    <xdr:graphicFrame macro="">
      <xdr:nvGraphicFramePr>
        <xdr:cNvPr id="3918702" name="Chart 4">
          <a:extLst>
            <a:ext uri="{FF2B5EF4-FFF2-40B4-BE49-F238E27FC236}">
              <a16:creationId xmlns:a16="http://schemas.microsoft.com/office/drawing/2014/main" id="{00000000-0008-0000-0700-00006E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30</xdr:col>
      <xdr:colOff>485775</xdr:colOff>
      <xdr:row>131</xdr:row>
      <xdr:rowOff>0</xdr:rowOff>
    </xdr:from>
    <xdr:to>
      <xdr:col>38</xdr:col>
      <xdr:colOff>57150</xdr:colOff>
      <xdr:row>157</xdr:row>
      <xdr:rowOff>200025</xdr:rowOff>
    </xdr:to>
    <xdr:graphicFrame macro="">
      <xdr:nvGraphicFramePr>
        <xdr:cNvPr id="3918703" name="Chart 4">
          <a:extLst>
            <a:ext uri="{FF2B5EF4-FFF2-40B4-BE49-F238E27FC236}">
              <a16:creationId xmlns:a16="http://schemas.microsoft.com/office/drawing/2014/main" id="{00000000-0008-0000-0700-00006F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64</xdr:col>
      <xdr:colOff>0</xdr:colOff>
      <xdr:row>49</xdr:row>
      <xdr:rowOff>0</xdr:rowOff>
    </xdr:from>
    <xdr:to>
      <xdr:col>73</xdr:col>
      <xdr:colOff>457200</xdr:colOff>
      <xdr:row>72</xdr:row>
      <xdr:rowOff>104775</xdr:rowOff>
    </xdr:to>
    <xdr:graphicFrame macro="">
      <xdr:nvGraphicFramePr>
        <xdr:cNvPr id="3918704" name="Chart 2">
          <a:extLst>
            <a:ext uri="{FF2B5EF4-FFF2-40B4-BE49-F238E27FC236}">
              <a16:creationId xmlns:a16="http://schemas.microsoft.com/office/drawing/2014/main" id="{00000000-0008-0000-0700-000070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31</xdr:col>
      <xdr:colOff>0</xdr:colOff>
      <xdr:row>160</xdr:row>
      <xdr:rowOff>0</xdr:rowOff>
    </xdr:from>
    <xdr:to>
      <xdr:col>38</xdr:col>
      <xdr:colOff>57150</xdr:colOff>
      <xdr:row>184</xdr:row>
      <xdr:rowOff>76200</xdr:rowOff>
    </xdr:to>
    <xdr:graphicFrame macro="">
      <xdr:nvGraphicFramePr>
        <xdr:cNvPr id="3918705" name="Chart 4">
          <a:extLst>
            <a:ext uri="{FF2B5EF4-FFF2-40B4-BE49-F238E27FC236}">
              <a16:creationId xmlns:a16="http://schemas.microsoft.com/office/drawing/2014/main" id="{00000000-0008-0000-0700-000071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22</xdr:col>
      <xdr:colOff>1219200</xdr:colOff>
      <xdr:row>131</xdr:row>
      <xdr:rowOff>0</xdr:rowOff>
    </xdr:from>
    <xdr:to>
      <xdr:col>30</xdr:col>
      <xdr:colOff>266700</xdr:colOff>
      <xdr:row>155</xdr:row>
      <xdr:rowOff>123825</xdr:rowOff>
    </xdr:to>
    <xdr:graphicFrame macro="">
      <xdr:nvGraphicFramePr>
        <xdr:cNvPr id="3918706" name="Chart 3">
          <a:extLst>
            <a:ext uri="{FF2B5EF4-FFF2-40B4-BE49-F238E27FC236}">
              <a16:creationId xmlns:a16="http://schemas.microsoft.com/office/drawing/2014/main" id="{00000000-0008-0000-0700-000072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31</xdr:col>
      <xdr:colOff>0</xdr:colOff>
      <xdr:row>187</xdr:row>
      <xdr:rowOff>0</xdr:rowOff>
    </xdr:from>
    <xdr:to>
      <xdr:col>38</xdr:col>
      <xdr:colOff>57150</xdr:colOff>
      <xdr:row>211</xdr:row>
      <xdr:rowOff>104775</xdr:rowOff>
    </xdr:to>
    <xdr:graphicFrame macro="">
      <xdr:nvGraphicFramePr>
        <xdr:cNvPr id="3918707" name="Chart 4">
          <a:extLst>
            <a:ext uri="{FF2B5EF4-FFF2-40B4-BE49-F238E27FC236}">
              <a16:creationId xmlns:a16="http://schemas.microsoft.com/office/drawing/2014/main" id="{00000000-0008-0000-0700-000073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31</xdr:col>
      <xdr:colOff>0</xdr:colOff>
      <xdr:row>213</xdr:row>
      <xdr:rowOff>0</xdr:rowOff>
    </xdr:from>
    <xdr:to>
      <xdr:col>38</xdr:col>
      <xdr:colOff>47625</xdr:colOff>
      <xdr:row>237</xdr:row>
      <xdr:rowOff>104775</xdr:rowOff>
    </xdr:to>
    <xdr:graphicFrame macro="">
      <xdr:nvGraphicFramePr>
        <xdr:cNvPr id="3918708" name="Chart 4">
          <a:extLst>
            <a:ext uri="{FF2B5EF4-FFF2-40B4-BE49-F238E27FC236}">
              <a16:creationId xmlns:a16="http://schemas.microsoft.com/office/drawing/2014/main" id="{00000000-0008-0000-0700-000074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39</xdr:col>
      <xdr:colOff>0</xdr:colOff>
      <xdr:row>131</xdr:row>
      <xdr:rowOff>0</xdr:rowOff>
    </xdr:from>
    <xdr:to>
      <xdr:col>46</xdr:col>
      <xdr:colOff>152400</xdr:colOff>
      <xdr:row>157</xdr:row>
      <xdr:rowOff>200025</xdr:rowOff>
    </xdr:to>
    <xdr:graphicFrame macro="">
      <xdr:nvGraphicFramePr>
        <xdr:cNvPr id="3918709" name="Chart 4">
          <a:extLst>
            <a:ext uri="{FF2B5EF4-FFF2-40B4-BE49-F238E27FC236}">
              <a16:creationId xmlns:a16="http://schemas.microsoft.com/office/drawing/2014/main" id="{00000000-0008-0000-0700-000075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mc:AlternateContent xmlns:mc="http://schemas.openxmlformats.org/markup-compatibility/2006">
    <mc:Choice xmlns:a14="http://schemas.microsoft.com/office/drawing/2010/main" Requires="a14">
      <xdr:twoCellAnchor>
        <xdr:from>
          <xdr:col>1</xdr:col>
          <xdr:colOff>125730</xdr:colOff>
          <xdr:row>1</xdr:row>
          <xdr:rowOff>11430</xdr:rowOff>
        </xdr:from>
        <xdr:to>
          <xdr:col>1</xdr:col>
          <xdr:colOff>1097280</xdr:colOff>
          <xdr:row>2</xdr:row>
          <xdr:rowOff>30480</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700-0000016C0000}"/>
                </a:ext>
              </a:extLst>
            </xdr:cNvPr>
            <xdr:cNvSpPr/>
          </xdr:nvSpPr>
          <xdr:spPr bwMode="auto">
            <a:xfrm>
              <a:off x="0" y="0"/>
              <a:ext cx="0" cy="0"/>
            </a:xfrm>
            <a:prstGeom prst="rect">
              <a:avLst/>
            </a:prstGeom>
            <a:noFill/>
            <a:ln w="9525">
              <a:miter lim="800000"/>
              <a:headEnd/>
              <a:tailEnd/>
            </a:ln>
          </xdr:spPr>
          <xdr:txBody>
            <a:bodyPr vertOverflow="clip" wrap="square" lIns="54864" tIns="41148" rIns="54864" bIns="41148" anchor="ctr" upright="1"/>
            <a:lstStyle/>
            <a:p>
              <a:pPr algn="ctr" rtl="0">
                <a:defRPr sz="1000"/>
              </a:pPr>
              <a:r>
                <a:rPr lang="en-CA" sz="1000" b="1" i="0" u="none" strike="noStrike" baseline="0">
                  <a:solidFill>
                    <a:srgbClr val="0000FF"/>
                  </a:solidFill>
                  <a:latin typeface="Arial"/>
                  <a:cs typeface="Arial"/>
                </a:rPr>
                <a:t>Default Sort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1543050</xdr:colOff>
          <xdr:row>1</xdr:row>
          <xdr:rowOff>11430</xdr:rowOff>
        </xdr:from>
        <xdr:to>
          <xdr:col>3</xdr:col>
          <xdr:colOff>266700</xdr:colOff>
          <xdr:row>2</xdr:row>
          <xdr:rowOff>11430</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0700-0000026C0000}"/>
                </a:ext>
              </a:extLst>
            </xdr:cNvPr>
            <xdr:cNvSpPr/>
          </xdr:nvSpPr>
          <xdr:spPr bwMode="auto">
            <a:xfrm>
              <a:off x="0" y="0"/>
              <a:ext cx="0" cy="0"/>
            </a:xfrm>
            <a:prstGeom prst="rect">
              <a:avLst/>
            </a:prstGeom>
            <a:noFill/>
            <a:ln w="9525">
              <a:miter lim="800000"/>
              <a:headEnd/>
              <a:tailEnd/>
            </a:ln>
          </xdr:spPr>
          <xdr:txBody>
            <a:bodyPr vertOverflow="clip" wrap="square" lIns="54864" tIns="41148" rIns="54864" bIns="41148" anchor="ctr" upright="1"/>
            <a:lstStyle/>
            <a:p>
              <a:pPr algn="ctr" rtl="0">
                <a:defRPr sz="1000"/>
              </a:pPr>
              <a:r>
                <a:rPr lang="en-CA" sz="1000" b="1" i="0" u="none" strike="noStrike" baseline="0">
                  <a:solidFill>
                    <a:srgbClr val="0000FF"/>
                  </a:solidFill>
                  <a:latin typeface="Arial"/>
                  <a:cs typeface="Arial"/>
                </a:rPr>
                <a:t>Profit Margin Sort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678180</xdr:colOff>
          <xdr:row>1</xdr:row>
          <xdr:rowOff>11430</xdr:rowOff>
        </xdr:from>
        <xdr:to>
          <xdr:col>6</xdr:col>
          <xdr:colOff>0</xdr:colOff>
          <xdr:row>2</xdr:row>
          <xdr:rowOff>38100</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0700-0000036C0000}"/>
                </a:ext>
              </a:extLst>
            </xdr:cNvPr>
            <xdr:cNvSpPr/>
          </xdr:nvSpPr>
          <xdr:spPr bwMode="auto">
            <a:xfrm>
              <a:off x="0" y="0"/>
              <a:ext cx="0" cy="0"/>
            </a:xfrm>
            <a:prstGeom prst="rect">
              <a:avLst/>
            </a:prstGeom>
            <a:noFill/>
            <a:ln w="9525">
              <a:miter lim="800000"/>
              <a:headEnd/>
              <a:tailEnd/>
            </a:ln>
          </xdr:spPr>
          <xdr:txBody>
            <a:bodyPr vertOverflow="clip" wrap="square" lIns="54864" tIns="41148" rIns="54864" bIns="41148" anchor="ctr" upright="1"/>
            <a:lstStyle/>
            <a:p>
              <a:pPr algn="ctr" rtl="0">
                <a:defRPr sz="1000"/>
              </a:pPr>
              <a:r>
                <a:rPr lang="en-CA" sz="1000" b="1" i="0" u="none" strike="noStrike" baseline="0">
                  <a:solidFill>
                    <a:srgbClr val="0000FF"/>
                  </a:solidFill>
                  <a:latin typeface="Arial"/>
                  <a:cs typeface="Arial"/>
                </a:rPr>
                <a:t>Column K Sort</a:t>
              </a:r>
            </a:p>
          </xdr:txBody>
        </xdr:sp>
        <xdr:clientData fPrintsWithSheet="0"/>
      </xdr:twoCellAnchor>
    </mc:Choice>
    <mc:Fallback/>
  </mc:AlternateContent>
  <xdr:twoCellAnchor>
    <xdr:from>
      <xdr:col>23</xdr:col>
      <xdr:colOff>342900</xdr:colOff>
      <xdr:row>159</xdr:row>
      <xdr:rowOff>180975</xdr:rowOff>
    </xdr:from>
    <xdr:to>
      <xdr:col>28</xdr:col>
      <xdr:colOff>619125</xdr:colOff>
      <xdr:row>177</xdr:row>
      <xdr:rowOff>38100</xdr:rowOff>
    </xdr:to>
    <xdr:graphicFrame macro="">
      <xdr:nvGraphicFramePr>
        <xdr:cNvPr id="3918710" name="Chart 7">
          <a:extLst>
            <a:ext uri="{FF2B5EF4-FFF2-40B4-BE49-F238E27FC236}">
              <a16:creationId xmlns:a16="http://schemas.microsoft.com/office/drawing/2014/main" id="{00000000-0008-0000-0700-000076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23</xdr:col>
      <xdr:colOff>0</xdr:colOff>
      <xdr:row>180</xdr:row>
      <xdr:rowOff>0</xdr:rowOff>
    </xdr:from>
    <xdr:to>
      <xdr:col>28</xdr:col>
      <xdr:colOff>266700</xdr:colOff>
      <xdr:row>201</xdr:row>
      <xdr:rowOff>0</xdr:rowOff>
    </xdr:to>
    <xdr:graphicFrame macro="">
      <xdr:nvGraphicFramePr>
        <xdr:cNvPr id="3918711" name="Chart 7">
          <a:extLst>
            <a:ext uri="{FF2B5EF4-FFF2-40B4-BE49-F238E27FC236}">
              <a16:creationId xmlns:a16="http://schemas.microsoft.com/office/drawing/2014/main" id="{00000000-0008-0000-0700-000077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64</xdr:col>
      <xdr:colOff>0</xdr:colOff>
      <xdr:row>75</xdr:row>
      <xdr:rowOff>0</xdr:rowOff>
    </xdr:from>
    <xdr:to>
      <xdr:col>73</xdr:col>
      <xdr:colOff>466725</xdr:colOff>
      <xdr:row>101</xdr:row>
      <xdr:rowOff>114300</xdr:rowOff>
    </xdr:to>
    <xdr:graphicFrame macro="">
      <xdr:nvGraphicFramePr>
        <xdr:cNvPr id="3918712" name="Chart 4">
          <a:extLst>
            <a:ext uri="{FF2B5EF4-FFF2-40B4-BE49-F238E27FC236}">
              <a16:creationId xmlns:a16="http://schemas.microsoft.com/office/drawing/2014/main" id="{00000000-0008-0000-0700-000078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64</xdr:col>
      <xdr:colOff>28575</xdr:colOff>
      <xdr:row>104</xdr:row>
      <xdr:rowOff>171450</xdr:rowOff>
    </xdr:from>
    <xdr:to>
      <xdr:col>73</xdr:col>
      <xdr:colOff>504825</xdr:colOff>
      <xdr:row>132</xdr:row>
      <xdr:rowOff>66675</xdr:rowOff>
    </xdr:to>
    <xdr:graphicFrame macro="">
      <xdr:nvGraphicFramePr>
        <xdr:cNvPr id="3918713" name="Chart 4">
          <a:extLst>
            <a:ext uri="{FF2B5EF4-FFF2-40B4-BE49-F238E27FC236}">
              <a16:creationId xmlns:a16="http://schemas.microsoft.com/office/drawing/2014/main" id="{00000000-0008-0000-0700-000079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39</xdr:col>
      <xdr:colOff>0</xdr:colOff>
      <xdr:row>159</xdr:row>
      <xdr:rowOff>0</xdr:rowOff>
    </xdr:from>
    <xdr:to>
      <xdr:col>45</xdr:col>
      <xdr:colOff>885825</xdr:colOff>
      <xdr:row>183</xdr:row>
      <xdr:rowOff>9525</xdr:rowOff>
    </xdr:to>
    <xdr:graphicFrame macro="">
      <xdr:nvGraphicFramePr>
        <xdr:cNvPr id="3918714" name="Chart 4">
          <a:extLst>
            <a:ext uri="{FF2B5EF4-FFF2-40B4-BE49-F238E27FC236}">
              <a16:creationId xmlns:a16="http://schemas.microsoft.com/office/drawing/2014/main" id="{00000000-0008-0000-0700-00007A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75</xdr:col>
      <xdr:colOff>0</xdr:colOff>
      <xdr:row>75</xdr:row>
      <xdr:rowOff>0</xdr:rowOff>
    </xdr:from>
    <xdr:to>
      <xdr:col>84</xdr:col>
      <xdr:colOff>514350</xdr:colOff>
      <xdr:row>101</xdr:row>
      <xdr:rowOff>114300</xdr:rowOff>
    </xdr:to>
    <xdr:graphicFrame macro="">
      <xdr:nvGraphicFramePr>
        <xdr:cNvPr id="3918715" name="Chart 4">
          <a:extLst>
            <a:ext uri="{FF2B5EF4-FFF2-40B4-BE49-F238E27FC236}">
              <a16:creationId xmlns:a16="http://schemas.microsoft.com/office/drawing/2014/main" id="{00000000-0008-0000-0700-00007B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47</xdr:col>
      <xdr:colOff>0</xdr:colOff>
      <xdr:row>131</xdr:row>
      <xdr:rowOff>0</xdr:rowOff>
    </xdr:from>
    <xdr:to>
      <xdr:col>53</xdr:col>
      <xdr:colOff>571500</xdr:colOff>
      <xdr:row>157</xdr:row>
      <xdr:rowOff>200025</xdr:rowOff>
    </xdr:to>
    <xdr:graphicFrame macro="">
      <xdr:nvGraphicFramePr>
        <xdr:cNvPr id="3918716" name="Chart 4">
          <a:extLst>
            <a:ext uri="{FF2B5EF4-FFF2-40B4-BE49-F238E27FC236}">
              <a16:creationId xmlns:a16="http://schemas.microsoft.com/office/drawing/2014/main" id="{00000000-0008-0000-0700-00007C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75</xdr:col>
      <xdr:colOff>0</xdr:colOff>
      <xdr:row>49</xdr:row>
      <xdr:rowOff>0</xdr:rowOff>
    </xdr:from>
    <xdr:to>
      <xdr:col>84</xdr:col>
      <xdr:colOff>504825</xdr:colOff>
      <xdr:row>72</xdr:row>
      <xdr:rowOff>104775</xdr:rowOff>
    </xdr:to>
    <xdr:graphicFrame macro="">
      <xdr:nvGraphicFramePr>
        <xdr:cNvPr id="3918717" name="Chart 2">
          <a:extLst>
            <a:ext uri="{FF2B5EF4-FFF2-40B4-BE49-F238E27FC236}">
              <a16:creationId xmlns:a16="http://schemas.microsoft.com/office/drawing/2014/main" id="{00000000-0008-0000-0700-00007D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75</xdr:col>
      <xdr:colOff>0</xdr:colOff>
      <xdr:row>105</xdr:row>
      <xdr:rowOff>0</xdr:rowOff>
    </xdr:from>
    <xdr:to>
      <xdr:col>84</xdr:col>
      <xdr:colOff>114300</xdr:colOff>
      <xdr:row>128</xdr:row>
      <xdr:rowOff>104775</xdr:rowOff>
    </xdr:to>
    <xdr:graphicFrame macro="">
      <xdr:nvGraphicFramePr>
        <xdr:cNvPr id="3918718" name="Chart 4">
          <a:extLst>
            <a:ext uri="{FF2B5EF4-FFF2-40B4-BE49-F238E27FC236}">
              <a16:creationId xmlns:a16="http://schemas.microsoft.com/office/drawing/2014/main" id="{00000000-0008-0000-0700-00007E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86</xdr:col>
      <xdr:colOff>0</xdr:colOff>
      <xdr:row>49</xdr:row>
      <xdr:rowOff>0</xdr:rowOff>
    </xdr:from>
    <xdr:to>
      <xdr:col>95</xdr:col>
      <xdr:colOff>142875</xdr:colOff>
      <xdr:row>69</xdr:row>
      <xdr:rowOff>142875</xdr:rowOff>
    </xdr:to>
    <xdr:graphicFrame macro="">
      <xdr:nvGraphicFramePr>
        <xdr:cNvPr id="3918719" name="Chart 4">
          <a:extLst>
            <a:ext uri="{FF2B5EF4-FFF2-40B4-BE49-F238E27FC236}">
              <a16:creationId xmlns:a16="http://schemas.microsoft.com/office/drawing/2014/main" id="{00000000-0008-0000-0700-00007F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86</xdr:col>
      <xdr:colOff>0</xdr:colOff>
      <xdr:row>72</xdr:row>
      <xdr:rowOff>0</xdr:rowOff>
    </xdr:from>
    <xdr:to>
      <xdr:col>93</xdr:col>
      <xdr:colOff>228600</xdr:colOff>
      <xdr:row>94</xdr:row>
      <xdr:rowOff>9525</xdr:rowOff>
    </xdr:to>
    <xdr:graphicFrame macro="">
      <xdr:nvGraphicFramePr>
        <xdr:cNvPr id="3918720" name="Chart 1">
          <a:extLst>
            <a:ext uri="{FF2B5EF4-FFF2-40B4-BE49-F238E27FC236}">
              <a16:creationId xmlns:a16="http://schemas.microsoft.com/office/drawing/2014/main" id="{00000000-0008-0000-0700-000080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94</xdr:col>
      <xdr:colOff>0</xdr:colOff>
      <xdr:row>74</xdr:row>
      <xdr:rowOff>0</xdr:rowOff>
    </xdr:from>
    <xdr:to>
      <xdr:col>98</xdr:col>
      <xdr:colOff>634297</xdr:colOff>
      <xdr:row>78</xdr:row>
      <xdr:rowOff>221574</xdr:rowOff>
    </xdr:to>
    <xdr:sp macro="" textlink="">
      <xdr:nvSpPr>
        <xdr:cNvPr id="43" name="TextBox 42">
          <a:extLst>
            <a:ext uri="{FF2B5EF4-FFF2-40B4-BE49-F238E27FC236}">
              <a16:creationId xmlns:a16="http://schemas.microsoft.com/office/drawing/2014/main" id="{00000000-0008-0000-0700-00002B000000}"/>
            </a:ext>
          </a:extLst>
        </xdr:cNvPr>
        <xdr:cNvSpPr txBox="1"/>
      </xdr:nvSpPr>
      <xdr:spPr>
        <a:xfrm>
          <a:off x="74971275" y="18621375"/>
          <a:ext cx="3383241" cy="11340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7CF4084-5F86-4AF9-A690-42A846B8ACAC}" type="TxLink">
            <a:rPr lang="en-US" sz="1400" b="1" i="0" u="none" strike="noStrike">
              <a:solidFill>
                <a:srgbClr val="000000"/>
              </a:solidFill>
              <a:latin typeface="Arial"/>
              <a:cs typeface="Arial"/>
            </a:rPr>
            <a:pPr algn="ctr"/>
            <a:t>​</a:t>
          </a:fld>
          <a:endParaRPr lang="en-US" sz="1200" b="1"/>
        </a:p>
      </xdr:txBody>
    </xdr:sp>
    <xdr:clientData/>
  </xdr:twoCellAnchor>
  <xdr:twoCellAnchor>
    <xdr:from>
      <xdr:col>22</xdr:col>
      <xdr:colOff>1295400</xdr:colOff>
      <xdr:row>203</xdr:row>
      <xdr:rowOff>0</xdr:rowOff>
    </xdr:from>
    <xdr:to>
      <xdr:col>29</xdr:col>
      <xdr:colOff>390525</xdr:colOff>
      <xdr:row>225</xdr:row>
      <xdr:rowOff>123825</xdr:rowOff>
    </xdr:to>
    <xdr:graphicFrame macro="">
      <xdr:nvGraphicFramePr>
        <xdr:cNvPr id="3918722" name="Chart 5">
          <a:extLst>
            <a:ext uri="{FF2B5EF4-FFF2-40B4-BE49-F238E27FC236}">
              <a16:creationId xmlns:a16="http://schemas.microsoft.com/office/drawing/2014/main" id="{00000000-0008-0000-0700-000082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23</xdr:col>
      <xdr:colOff>0</xdr:colOff>
      <xdr:row>228</xdr:row>
      <xdr:rowOff>0</xdr:rowOff>
    </xdr:from>
    <xdr:to>
      <xdr:col>29</xdr:col>
      <xdr:colOff>371475</xdr:colOff>
      <xdr:row>250</xdr:row>
      <xdr:rowOff>104775</xdr:rowOff>
    </xdr:to>
    <xdr:graphicFrame macro="">
      <xdr:nvGraphicFramePr>
        <xdr:cNvPr id="3918723" name="Chart 6">
          <a:extLst>
            <a:ext uri="{FF2B5EF4-FFF2-40B4-BE49-F238E27FC236}">
              <a16:creationId xmlns:a16="http://schemas.microsoft.com/office/drawing/2014/main" id="{00000000-0008-0000-0700-000083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86</xdr:col>
      <xdr:colOff>0</xdr:colOff>
      <xdr:row>105</xdr:row>
      <xdr:rowOff>0</xdr:rowOff>
    </xdr:from>
    <xdr:to>
      <xdr:col>95</xdr:col>
      <xdr:colOff>514350</xdr:colOff>
      <xdr:row>131</xdr:row>
      <xdr:rowOff>161925</xdr:rowOff>
    </xdr:to>
    <xdr:graphicFrame macro="">
      <xdr:nvGraphicFramePr>
        <xdr:cNvPr id="3918724" name="Chart 2">
          <a:extLst>
            <a:ext uri="{FF2B5EF4-FFF2-40B4-BE49-F238E27FC236}">
              <a16:creationId xmlns:a16="http://schemas.microsoft.com/office/drawing/2014/main" id="{00000000-0008-0000-0700-000084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86</xdr:col>
      <xdr:colOff>0</xdr:colOff>
      <xdr:row>134</xdr:row>
      <xdr:rowOff>0</xdr:rowOff>
    </xdr:from>
    <xdr:to>
      <xdr:col>95</xdr:col>
      <xdr:colOff>514350</xdr:colOff>
      <xdr:row>159</xdr:row>
      <xdr:rowOff>209550</xdr:rowOff>
    </xdr:to>
    <xdr:graphicFrame macro="">
      <xdr:nvGraphicFramePr>
        <xdr:cNvPr id="3918725" name="Chart 2">
          <a:extLst>
            <a:ext uri="{FF2B5EF4-FFF2-40B4-BE49-F238E27FC236}">
              <a16:creationId xmlns:a16="http://schemas.microsoft.com/office/drawing/2014/main" id="{00000000-0008-0000-0700-000085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98</xdr:col>
      <xdr:colOff>0</xdr:colOff>
      <xdr:row>49</xdr:row>
      <xdr:rowOff>0</xdr:rowOff>
    </xdr:from>
    <xdr:to>
      <xdr:col>107</xdr:col>
      <xdr:colOff>114300</xdr:colOff>
      <xdr:row>69</xdr:row>
      <xdr:rowOff>133350</xdr:rowOff>
    </xdr:to>
    <xdr:graphicFrame macro="">
      <xdr:nvGraphicFramePr>
        <xdr:cNvPr id="3918726" name="Chart 4">
          <a:extLst>
            <a:ext uri="{FF2B5EF4-FFF2-40B4-BE49-F238E27FC236}">
              <a16:creationId xmlns:a16="http://schemas.microsoft.com/office/drawing/2014/main" id="{00000000-0008-0000-0700-000086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100</xdr:col>
      <xdr:colOff>0</xdr:colOff>
      <xdr:row>73</xdr:row>
      <xdr:rowOff>0</xdr:rowOff>
    </xdr:from>
    <xdr:to>
      <xdr:col>110</xdr:col>
      <xdr:colOff>228600</xdr:colOff>
      <xdr:row>95</xdr:row>
      <xdr:rowOff>19050</xdr:rowOff>
    </xdr:to>
    <xdr:graphicFrame macro="">
      <xdr:nvGraphicFramePr>
        <xdr:cNvPr id="3918727" name="Chart 4">
          <a:extLst>
            <a:ext uri="{FF2B5EF4-FFF2-40B4-BE49-F238E27FC236}">
              <a16:creationId xmlns:a16="http://schemas.microsoft.com/office/drawing/2014/main" id="{00000000-0008-0000-0700-000087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108</xdr:col>
      <xdr:colOff>0</xdr:colOff>
      <xdr:row>49</xdr:row>
      <xdr:rowOff>0</xdr:rowOff>
    </xdr:from>
    <xdr:to>
      <xdr:col>117</xdr:col>
      <xdr:colOff>114300</xdr:colOff>
      <xdr:row>69</xdr:row>
      <xdr:rowOff>133350</xdr:rowOff>
    </xdr:to>
    <xdr:graphicFrame macro="">
      <xdr:nvGraphicFramePr>
        <xdr:cNvPr id="3918728" name="Chart 4">
          <a:extLst>
            <a:ext uri="{FF2B5EF4-FFF2-40B4-BE49-F238E27FC236}">
              <a16:creationId xmlns:a16="http://schemas.microsoft.com/office/drawing/2014/main" id="{00000000-0008-0000-0700-000088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100</xdr:col>
      <xdr:colOff>9525</xdr:colOff>
      <xdr:row>97</xdr:row>
      <xdr:rowOff>57150</xdr:rowOff>
    </xdr:from>
    <xdr:to>
      <xdr:col>110</xdr:col>
      <xdr:colOff>238125</xdr:colOff>
      <xdr:row>120</xdr:row>
      <xdr:rowOff>152400</xdr:rowOff>
    </xdr:to>
    <xdr:graphicFrame macro="">
      <xdr:nvGraphicFramePr>
        <xdr:cNvPr id="3918729" name="Chart 4">
          <a:extLst>
            <a:ext uri="{FF2B5EF4-FFF2-40B4-BE49-F238E27FC236}">
              <a16:creationId xmlns:a16="http://schemas.microsoft.com/office/drawing/2014/main" id="{00000000-0008-0000-0700-000089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100</xdr:col>
      <xdr:colOff>0</xdr:colOff>
      <xdr:row>123</xdr:row>
      <xdr:rowOff>0</xdr:rowOff>
    </xdr:from>
    <xdr:to>
      <xdr:col>109</xdr:col>
      <xdr:colOff>142875</xdr:colOff>
      <xdr:row>146</xdr:row>
      <xdr:rowOff>47625</xdr:rowOff>
    </xdr:to>
    <xdr:graphicFrame macro="">
      <xdr:nvGraphicFramePr>
        <xdr:cNvPr id="3918730" name="Chart 51">
          <a:extLst>
            <a:ext uri="{FF2B5EF4-FFF2-40B4-BE49-F238E27FC236}">
              <a16:creationId xmlns:a16="http://schemas.microsoft.com/office/drawing/2014/main" id="{00000000-0008-0000-0700-00008A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47</xdr:col>
      <xdr:colOff>0</xdr:colOff>
      <xdr:row>161</xdr:row>
      <xdr:rowOff>0</xdr:rowOff>
    </xdr:from>
    <xdr:to>
      <xdr:col>53</xdr:col>
      <xdr:colOff>542925</xdr:colOff>
      <xdr:row>182</xdr:row>
      <xdr:rowOff>190500</xdr:rowOff>
    </xdr:to>
    <xdr:graphicFrame macro="">
      <xdr:nvGraphicFramePr>
        <xdr:cNvPr id="3918731" name="Chart 3">
          <a:extLst>
            <a:ext uri="{FF2B5EF4-FFF2-40B4-BE49-F238E27FC236}">
              <a16:creationId xmlns:a16="http://schemas.microsoft.com/office/drawing/2014/main" id="{00000000-0008-0000-0700-00008B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47</xdr:col>
      <xdr:colOff>0</xdr:colOff>
      <xdr:row>185</xdr:row>
      <xdr:rowOff>0</xdr:rowOff>
    </xdr:from>
    <xdr:to>
      <xdr:col>53</xdr:col>
      <xdr:colOff>600075</xdr:colOff>
      <xdr:row>209</xdr:row>
      <xdr:rowOff>19050</xdr:rowOff>
    </xdr:to>
    <xdr:graphicFrame macro="">
      <xdr:nvGraphicFramePr>
        <xdr:cNvPr id="3918732" name="Chart 4">
          <a:extLst>
            <a:ext uri="{FF2B5EF4-FFF2-40B4-BE49-F238E27FC236}">
              <a16:creationId xmlns:a16="http://schemas.microsoft.com/office/drawing/2014/main" id="{00000000-0008-0000-0700-00008C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106</xdr:col>
      <xdr:colOff>66675</xdr:colOff>
      <xdr:row>27</xdr:row>
      <xdr:rowOff>1704975</xdr:rowOff>
    </xdr:from>
    <xdr:to>
      <xdr:col>115</xdr:col>
      <xdr:colOff>581025</xdr:colOff>
      <xdr:row>47</xdr:row>
      <xdr:rowOff>76200</xdr:rowOff>
    </xdr:to>
    <xdr:graphicFrame macro="">
      <xdr:nvGraphicFramePr>
        <xdr:cNvPr id="3918733" name="Chart 3">
          <a:extLst>
            <a:ext uri="{FF2B5EF4-FFF2-40B4-BE49-F238E27FC236}">
              <a16:creationId xmlns:a16="http://schemas.microsoft.com/office/drawing/2014/main" id="{00000000-0008-0000-0700-00008DCB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0.77055</cdr:x>
      <cdr:y>0.94626</cdr:y>
    </cdr:from>
    <cdr:to>
      <cdr:x>0.98256</cdr:x>
      <cdr:y>0.98895</cdr:y>
    </cdr:to>
    <cdr:sp macro="" textlink="">
      <cdr:nvSpPr>
        <cdr:cNvPr id="2" name="TextBox 7"/>
        <cdr:cNvSpPr txBox="1"/>
      </cdr:nvSpPr>
      <cdr:spPr>
        <a:xfrm xmlns:a="http://schemas.openxmlformats.org/drawingml/2006/main">
          <a:off x="5090518" y="5038725"/>
          <a:ext cx="1415058" cy="261938"/>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18.xml><?xml version="1.0" encoding="utf-8"?>
<c:userShapes xmlns:c="http://schemas.openxmlformats.org/drawingml/2006/chart">
  <cdr:relSizeAnchor xmlns:cdr="http://schemas.openxmlformats.org/drawingml/2006/chartDrawing">
    <cdr:from>
      <cdr:x>0.79231</cdr:x>
      <cdr:y>0.95321</cdr:y>
    </cdr:from>
    <cdr:to>
      <cdr:x>0.99937</cdr:x>
      <cdr:y>0.99549</cdr:y>
    </cdr:to>
    <cdr:sp macro="" textlink="">
      <cdr:nvSpPr>
        <cdr:cNvPr id="2" name="TextBox 7"/>
        <cdr:cNvSpPr txBox="1"/>
      </cdr:nvSpPr>
      <cdr:spPr>
        <a:xfrm xmlns:a="http://schemas.openxmlformats.org/drawingml/2006/main">
          <a:off x="5021036" y="5197928"/>
          <a:ext cx="1469571" cy="204107"/>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CA" sz="1050" b="1"/>
            <a:t>Manitoba Agriculture</a:t>
          </a:r>
        </a:p>
      </cdr:txBody>
    </cdr:sp>
  </cdr:relSizeAnchor>
</c:userShapes>
</file>

<file path=xl/drawings/drawing19.xml><?xml version="1.0" encoding="utf-8"?>
<c:userShapes xmlns:c="http://schemas.openxmlformats.org/drawingml/2006/chart">
  <cdr:relSizeAnchor xmlns:cdr="http://schemas.openxmlformats.org/drawingml/2006/chartDrawing">
    <cdr:from>
      <cdr:x>0.78485</cdr:x>
      <cdr:y>0.96082</cdr:y>
    </cdr:from>
    <cdr:to>
      <cdr:x>0.99661</cdr:x>
      <cdr:y>0.99544</cdr:y>
    </cdr:to>
    <cdr:sp macro="" textlink="">
      <cdr:nvSpPr>
        <cdr:cNvPr id="2" name="TextBox 7"/>
        <cdr:cNvSpPr txBox="1"/>
      </cdr:nvSpPr>
      <cdr:spPr>
        <a:xfrm xmlns:a="http://schemas.openxmlformats.org/drawingml/2006/main">
          <a:off x="5204680" y="5238748"/>
          <a:ext cx="1406298" cy="191461"/>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2</xdr:col>
      <xdr:colOff>180975</xdr:colOff>
      <xdr:row>419</xdr:row>
      <xdr:rowOff>47625</xdr:rowOff>
    </xdr:from>
    <xdr:to>
      <xdr:col>7</xdr:col>
      <xdr:colOff>198402</xdr:colOff>
      <xdr:row>424</xdr:row>
      <xdr:rowOff>9526</xdr:rowOff>
    </xdr:to>
    <xdr:pic>
      <xdr:nvPicPr>
        <xdr:cNvPr id="6" name="Picture 5" descr="Details on how to contact a Farm Management Specialist.">
          <a:hlinkClick xmlns:r="http://schemas.openxmlformats.org/officeDocument/2006/relationships" r:id="rId1" tooltip="Click here for a list of Farm Management contacts."/>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1575" y="78971775"/>
          <a:ext cx="4103652" cy="914401"/>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0.75652</cdr:x>
      <cdr:y>0.95314</cdr:y>
    </cdr:from>
    <cdr:to>
      <cdr:x>0.98155</cdr:x>
      <cdr:y>0.99951</cdr:y>
    </cdr:to>
    <cdr:sp macro="" textlink="">
      <cdr:nvSpPr>
        <cdr:cNvPr id="2" name="TextBox 7"/>
        <cdr:cNvSpPr txBox="1"/>
      </cdr:nvSpPr>
      <cdr:spPr>
        <a:xfrm xmlns:a="http://schemas.openxmlformats.org/drawingml/2006/main">
          <a:off x="5110532" y="5211536"/>
          <a:ext cx="1424858" cy="242207"/>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1.xml><?xml version="1.0" encoding="utf-8"?>
<c:userShapes xmlns:c="http://schemas.openxmlformats.org/drawingml/2006/chart">
  <cdr:relSizeAnchor xmlns:cdr="http://schemas.openxmlformats.org/drawingml/2006/chartDrawing">
    <cdr:from>
      <cdr:x>0.80034</cdr:x>
      <cdr:y>0.95449</cdr:y>
    </cdr:from>
    <cdr:to>
      <cdr:x>0.99608</cdr:x>
      <cdr:y>0.99594</cdr:y>
    </cdr:to>
    <cdr:sp macro="" textlink="">
      <cdr:nvSpPr>
        <cdr:cNvPr id="2" name="TextBox 7"/>
        <cdr:cNvSpPr txBox="1"/>
      </cdr:nvSpPr>
      <cdr:spPr>
        <a:xfrm xmlns:a="http://schemas.openxmlformats.org/drawingml/2006/main">
          <a:off x="5209192" y="5234912"/>
          <a:ext cx="1411416" cy="196662"/>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2.xml><?xml version="1.0" encoding="utf-8"?>
<c:userShapes xmlns:c="http://schemas.openxmlformats.org/drawingml/2006/chart">
  <cdr:relSizeAnchor xmlns:cdr="http://schemas.openxmlformats.org/drawingml/2006/chartDrawing">
    <cdr:from>
      <cdr:x>0.8395</cdr:x>
      <cdr:y>0.94775</cdr:y>
    </cdr:from>
    <cdr:to>
      <cdr:x>0.8395</cdr:x>
      <cdr:y>0.94824</cdr:y>
    </cdr:to>
    <cdr:sp macro="" textlink="">
      <cdr:nvSpPr>
        <cdr:cNvPr id="2" name="TextBox 7"/>
        <cdr:cNvSpPr txBox="1"/>
      </cdr:nvSpPr>
      <cdr:spPr>
        <a:xfrm xmlns:a="http://schemas.openxmlformats.org/drawingml/2006/main">
          <a:off x="5188662" y="5442049"/>
          <a:ext cx="1434266" cy="255261"/>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3.xml><?xml version="1.0" encoding="utf-8"?>
<c:userShapes xmlns:c="http://schemas.openxmlformats.org/drawingml/2006/chart">
  <cdr:relSizeAnchor xmlns:cdr="http://schemas.openxmlformats.org/drawingml/2006/chartDrawing">
    <cdr:from>
      <cdr:x>0.791</cdr:x>
      <cdr:y>0.94657</cdr:y>
    </cdr:from>
    <cdr:to>
      <cdr:x>0.791</cdr:x>
      <cdr:y>0.94706</cdr:y>
    </cdr:to>
    <cdr:sp macro="" textlink="">
      <cdr:nvSpPr>
        <cdr:cNvPr id="2" name="TextBox 7"/>
        <cdr:cNvSpPr txBox="1"/>
      </cdr:nvSpPr>
      <cdr:spPr>
        <a:xfrm xmlns:a="http://schemas.openxmlformats.org/drawingml/2006/main">
          <a:off x="5199175" y="5334000"/>
          <a:ext cx="1434307" cy="232653"/>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4.xml><?xml version="1.0" encoding="utf-8"?>
<c:userShapes xmlns:c="http://schemas.openxmlformats.org/drawingml/2006/chart">
  <cdr:relSizeAnchor xmlns:cdr="http://schemas.openxmlformats.org/drawingml/2006/chartDrawing">
    <cdr:from>
      <cdr:x>0.76882</cdr:x>
      <cdr:y>0.95385</cdr:y>
    </cdr:from>
    <cdr:to>
      <cdr:x>0.98356</cdr:x>
      <cdr:y>0.98894</cdr:y>
    </cdr:to>
    <cdr:sp macro="" textlink="">
      <cdr:nvSpPr>
        <cdr:cNvPr id="2" name="TextBox 7"/>
        <cdr:cNvSpPr txBox="1"/>
      </cdr:nvSpPr>
      <cdr:spPr>
        <a:xfrm xmlns:a="http://schemas.openxmlformats.org/drawingml/2006/main">
          <a:off x="5090518" y="5038725"/>
          <a:ext cx="1415058" cy="261938"/>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5.xml><?xml version="1.0" encoding="utf-8"?>
<c:userShapes xmlns:c="http://schemas.openxmlformats.org/drawingml/2006/chart">
  <cdr:relSizeAnchor xmlns:cdr="http://schemas.openxmlformats.org/drawingml/2006/chartDrawing">
    <cdr:from>
      <cdr:x>0.7708</cdr:x>
      <cdr:y>0.96197</cdr:y>
    </cdr:from>
    <cdr:to>
      <cdr:x>0.9838</cdr:x>
      <cdr:y>0.9963</cdr:y>
    </cdr:to>
    <cdr:sp macro="" textlink="">
      <cdr:nvSpPr>
        <cdr:cNvPr id="2" name="TextBox 7"/>
        <cdr:cNvSpPr txBox="1"/>
      </cdr:nvSpPr>
      <cdr:spPr>
        <a:xfrm xmlns:a="http://schemas.openxmlformats.org/drawingml/2006/main">
          <a:off x="5125376" y="5831417"/>
          <a:ext cx="1424740" cy="232833"/>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6.xml><?xml version="1.0" encoding="utf-8"?>
<c:userShapes xmlns:c="http://schemas.openxmlformats.org/drawingml/2006/chart">
  <cdr:relSizeAnchor xmlns:cdr="http://schemas.openxmlformats.org/drawingml/2006/chartDrawing">
    <cdr:from>
      <cdr:x>0.77645</cdr:x>
      <cdr:y>0.95855</cdr:y>
    </cdr:from>
    <cdr:to>
      <cdr:x>0.99044</cdr:x>
      <cdr:y>0.99036</cdr:y>
    </cdr:to>
    <cdr:sp macro="" textlink="">
      <cdr:nvSpPr>
        <cdr:cNvPr id="2" name="TextBox 7"/>
        <cdr:cNvSpPr txBox="1"/>
      </cdr:nvSpPr>
      <cdr:spPr>
        <a:xfrm xmlns:a="http://schemas.openxmlformats.org/drawingml/2006/main">
          <a:off x="5459073" y="6041572"/>
          <a:ext cx="1504523" cy="200498"/>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CA" sz="1050" b="1"/>
            <a:t>Manitoba Agriculture</a:t>
          </a:r>
        </a:p>
      </cdr:txBody>
    </cdr:sp>
  </cdr:relSizeAnchor>
</c:userShapes>
</file>

<file path=xl/drawings/drawing27.xml><?xml version="1.0" encoding="utf-8"?>
<c:userShapes xmlns:c="http://schemas.openxmlformats.org/drawingml/2006/chart">
  <cdr:relSizeAnchor xmlns:cdr="http://schemas.openxmlformats.org/drawingml/2006/chartDrawing">
    <cdr:from>
      <cdr:x>0.77006</cdr:x>
      <cdr:y>0.93715</cdr:y>
    </cdr:from>
    <cdr:to>
      <cdr:x>0.98454</cdr:x>
      <cdr:y>0.98845</cdr:y>
    </cdr:to>
    <cdr:sp macro="" textlink="">
      <cdr:nvSpPr>
        <cdr:cNvPr id="2" name="TextBox 7"/>
        <cdr:cNvSpPr txBox="1"/>
      </cdr:nvSpPr>
      <cdr:spPr>
        <a:xfrm xmlns:a="http://schemas.openxmlformats.org/drawingml/2006/main">
          <a:off x="5090518" y="5038725"/>
          <a:ext cx="1415058" cy="261938"/>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28.xml><?xml version="1.0" encoding="utf-8"?>
<c:userShapes xmlns:c="http://schemas.openxmlformats.org/drawingml/2006/chart">
  <cdr:relSizeAnchor xmlns:cdr="http://schemas.openxmlformats.org/drawingml/2006/chartDrawing">
    <cdr:from>
      <cdr:x>0.77938</cdr:x>
      <cdr:y>0.95057</cdr:y>
    </cdr:from>
    <cdr:to>
      <cdr:x>0.99386</cdr:x>
      <cdr:y>0.99521</cdr:y>
    </cdr:to>
    <cdr:sp macro="" textlink="">
      <cdr:nvSpPr>
        <cdr:cNvPr id="2" name="TextBox 7"/>
        <cdr:cNvSpPr txBox="1"/>
      </cdr:nvSpPr>
      <cdr:spPr>
        <a:xfrm xmlns:a="http://schemas.openxmlformats.org/drawingml/2006/main">
          <a:off x="5180693" y="5293177"/>
          <a:ext cx="1421537" cy="241433"/>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CA" sz="1050" b="1"/>
            <a:t>Manitoba Agriculture</a:t>
          </a:r>
        </a:p>
      </cdr:txBody>
    </cdr:sp>
  </cdr:relSizeAnchor>
</c:userShapes>
</file>

<file path=xl/drawings/drawing29.xml><?xml version="1.0" encoding="utf-8"?>
<c:userShapes xmlns:c="http://schemas.openxmlformats.org/drawingml/2006/chart">
  <cdr:relSizeAnchor xmlns:cdr="http://schemas.openxmlformats.org/drawingml/2006/chartDrawing">
    <cdr:from>
      <cdr:x>0.78129</cdr:x>
      <cdr:y>0.95937</cdr:y>
    </cdr:from>
    <cdr:to>
      <cdr:x>0.99478</cdr:x>
      <cdr:y>0.99329</cdr:y>
    </cdr:to>
    <cdr:sp macro="" textlink="">
      <cdr:nvSpPr>
        <cdr:cNvPr id="2" name="TextBox 7"/>
        <cdr:cNvSpPr txBox="1"/>
      </cdr:nvSpPr>
      <cdr:spPr>
        <a:xfrm xmlns:a="http://schemas.openxmlformats.org/drawingml/2006/main">
          <a:off x="5195016" y="5402034"/>
          <a:ext cx="1413325" cy="188091"/>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66675</xdr:colOff>
      <xdr:row>1</xdr:row>
      <xdr:rowOff>123825</xdr:rowOff>
    </xdr:from>
    <xdr:to>
      <xdr:col>10</xdr:col>
      <xdr:colOff>228600</xdr:colOff>
      <xdr:row>27</xdr:row>
      <xdr:rowOff>133350</xdr:rowOff>
    </xdr:to>
    <xdr:graphicFrame macro="">
      <xdr:nvGraphicFramePr>
        <xdr:cNvPr id="4313267" name="Chart 4">
          <a:extLst>
            <a:ext uri="{FF2B5EF4-FFF2-40B4-BE49-F238E27FC236}">
              <a16:creationId xmlns:a16="http://schemas.microsoft.com/office/drawing/2014/main" id="{00000000-0008-0000-0500-0000B3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59</xdr:row>
      <xdr:rowOff>38100</xdr:rowOff>
    </xdr:from>
    <xdr:to>
      <xdr:col>10</xdr:col>
      <xdr:colOff>238125</xdr:colOff>
      <xdr:row>84</xdr:row>
      <xdr:rowOff>47625</xdr:rowOff>
    </xdr:to>
    <xdr:graphicFrame macro="">
      <xdr:nvGraphicFramePr>
        <xdr:cNvPr id="4313268" name="Chart 4">
          <a:extLst>
            <a:ext uri="{FF2B5EF4-FFF2-40B4-BE49-F238E27FC236}">
              <a16:creationId xmlns:a16="http://schemas.microsoft.com/office/drawing/2014/main" id="{00000000-0008-0000-0500-0000B4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29</xdr:row>
      <xdr:rowOff>0</xdr:rowOff>
    </xdr:from>
    <xdr:to>
      <xdr:col>10</xdr:col>
      <xdr:colOff>209550</xdr:colOff>
      <xdr:row>54</xdr:row>
      <xdr:rowOff>0</xdr:rowOff>
    </xdr:to>
    <xdr:graphicFrame macro="">
      <xdr:nvGraphicFramePr>
        <xdr:cNvPr id="4313269" name="Chart 4">
          <a:extLst>
            <a:ext uri="{FF2B5EF4-FFF2-40B4-BE49-F238E27FC236}">
              <a16:creationId xmlns:a16="http://schemas.microsoft.com/office/drawing/2014/main" id="{00000000-0008-0000-0500-0000B5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180975</xdr:colOff>
      <xdr:row>1</xdr:row>
      <xdr:rowOff>133350</xdr:rowOff>
    </xdr:from>
    <xdr:to>
      <xdr:col>21</xdr:col>
      <xdr:colOff>381000</xdr:colOff>
      <xdr:row>27</xdr:row>
      <xdr:rowOff>171450</xdr:rowOff>
    </xdr:to>
    <xdr:graphicFrame macro="">
      <xdr:nvGraphicFramePr>
        <xdr:cNvPr id="4313270" name="Chart 4">
          <a:extLst>
            <a:ext uri="{FF2B5EF4-FFF2-40B4-BE49-F238E27FC236}">
              <a16:creationId xmlns:a16="http://schemas.microsoft.com/office/drawing/2014/main" id="{00000000-0008-0000-0500-0000B6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29</xdr:row>
      <xdr:rowOff>0</xdr:rowOff>
    </xdr:from>
    <xdr:to>
      <xdr:col>21</xdr:col>
      <xdr:colOff>161925</xdr:colOff>
      <xdr:row>54</xdr:row>
      <xdr:rowOff>0</xdr:rowOff>
    </xdr:to>
    <xdr:graphicFrame macro="">
      <xdr:nvGraphicFramePr>
        <xdr:cNvPr id="4313271" name="Chart 4">
          <a:extLst>
            <a:ext uri="{FF2B5EF4-FFF2-40B4-BE49-F238E27FC236}">
              <a16:creationId xmlns:a16="http://schemas.microsoft.com/office/drawing/2014/main" id="{00000000-0008-0000-0500-0000B7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59</xdr:row>
      <xdr:rowOff>0</xdr:rowOff>
    </xdr:from>
    <xdr:to>
      <xdr:col>20</xdr:col>
      <xdr:colOff>533400</xdr:colOff>
      <xdr:row>84</xdr:row>
      <xdr:rowOff>9525</xdr:rowOff>
    </xdr:to>
    <xdr:graphicFrame macro="">
      <xdr:nvGraphicFramePr>
        <xdr:cNvPr id="4313272" name="Chart 4">
          <a:extLst>
            <a:ext uri="{FF2B5EF4-FFF2-40B4-BE49-F238E27FC236}">
              <a16:creationId xmlns:a16="http://schemas.microsoft.com/office/drawing/2014/main" id="{00000000-0008-0000-0500-0000B8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88</xdr:row>
      <xdr:rowOff>0</xdr:rowOff>
    </xdr:from>
    <xdr:to>
      <xdr:col>8</xdr:col>
      <xdr:colOff>542925</xdr:colOff>
      <xdr:row>116</xdr:row>
      <xdr:rowOff>95250</xdr:rowOff>
    </xdr:to>
    <xdr:graphicFrame macro="">
      <xdr:nvGraphicFramePr>
        <xdr:cNvPr id="4313273" name="Chart 2">
          <a:extLst>
            <a:ext uri="{FF2B5EF4-FFF2-40B4-BE49-F238E27FC236}">
              <a16:creationId xmlns:a16="http://schemas.microsoft.com/office/drawing/2014/main" id="{00000000-0008-0000-0500-0000B9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118</xdr:row>
      <xdr:rowOff>0</xdr:rowOff>
    </xdr:from>
    <xdr:to>
      <xdr:col>8</xdr:col>
      <xdr:colOff>542925</xdr:colOff>
      <xdr:row>146</xdr:row>
      <xdr:rowOff>85725</xdr:rowOff>
    </xdr:to>
    <xdr:graphicFrame macro="">
      <xdr:nvGraphicFramePr>
        <xdr:cNvPr id="4313274" name="Chart 2">
          <a:extLst>
            <a:ext uri="{FF2B5EF4-FFF2-40B4-BE49-F238E27FC236}">
              <a16:creationId xmlns:a16="http://schemas.microsoft.com/office/drawing/2014/main" id="{00000000-0008-0000-0500-0000BA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148</xdr:row>
      <xdr:rowOff>0</xdr:rowOff>
    </xdr:from>
    <xdr:to>
      <xdr:col>9</xdr:col>
      <xdr:colOff>171450</xdr:colOff>
      <xdr:row>172</xdr:row>
      <xdr:rowOff>180975</xdr:rowOff>
    </xdr:to>
    <xdr:graphicFrame macro="">
      <xdr:nvGraphicFramePr>
        <xdr:cNvPr id="4313275" name="Chart 4">
          <a:extLst>
            <a:ext uri="{FF2B5EF4-FFF2-40B4-BE49-F238E27FC236}">
              <a16:creationId xmlns:a16="http://schemas.microsoft.com/office/drawing/2014/main" id="{00000000-0008-0000-0500-0000BB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175</xdr:row>
      <xdr:rowOff>0</xdr:rowOff>
    </xdr:from>
    <xdr:to>
      <xdr:col>9</xdr:col>
      <xdr:colOff>171450</xdr:colOff>
      <xdr:row>199</xdr:row>
      <xdr:rowOff>180975</xdr:rowOff>
    </xdr:to>
    <xdr:graphicFrame macro="">
      <xdr:nvGraphicFramePr>
        <xdr:cNvPr id="4313276" name="Chart 4">
          <a:extLst>
            <a:ext uri="{FF2B5EF4-FFF2-40B4-BE49-F238E27FC236}">
              <a16:creationId xmlns:a16="http://schemas.microsoft.com/office/drawing/2014/main" id="{00000000-0008-0000-0500-0000BC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88</xdr:row>
      <xdr:rowOff>0</xdr:rowOff>
    </xdr:from>
    <xdr:to>
      <xdr:col>18</xdr:col>
      <xdr:colOff>542925</xdr:colOff>
      <xdr:row>116</xdr:row>
      <xdr:rowOff>95250</xdr:rowOff>
    </xdr:to>
    <xdr:graphicFrame macro="">
      <xdr:nvGraphicFramePr>
        <xdr:cNvPr id="4313277" name="Chart 2">
          <a:extLst>
            <a:ext uri="{FF2B5EF4-FFF2-40B4-BE49-F238E27FC236}">
              <a16:creationId xmlns:a16="http://schemas.microsoft.com/office/drawing/2014/main" id="{00000000-0008-0000-0500-0000BD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0</xdr:colOff>
      <xdr:row>118</xdr:row>
      <xdr:rowOff>0</xdr:rowOff>
    </xdr:from>
    <xdr:to>
      <xdr:col>18</xdr:col>
      <xdr:colOff>542925</xdr:colOff>
      <xdr:row>146</xdr:row>
      <xdr:rowOff>95250</xdr:rowOff>
    </xdr:to>
    <xdr:graphicFrame macro="">
      <xdr:nvGraphicFramePr>
        <xdr:cNvPr id="4313278" name="Chart 2">
          <a:extLst>
            <a:ext uri="{FF2B5EF4-FFF2-40B4-BE49-F238E27FC236}">
              <a16:creationId xmlns:a16="http://schemas.microsoft.com/office/drawing/2014/main" id="{00000000-0008-0000-0500-0000BE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0</xdr:colOff>
      <xdr:row>148</xdr:row>
      <xdr:rowOff>0</xdr:rowOff>
    </xdr:from>
    <xdr:to>
      <xdr:col>19</xdr:col>
      <xdr:colOff>171450</xdr:colOff>
      <xdr:row>172</xdr:row>
      <xdr:rowOff>180975</xdr:rowOff>
    </xdr:to>
    <xdr:graphicFrame macro="">
      <xdr:nvGraphicFramePr>
        <xdr:cNvPr id="4313279" name="Chart 4">
          <a:extLst>
            <a:ext uri="{FF2B5EF4-FFF2-40B4-BE49-F238E27FC236}">
              <a16:creationId xmlns:a16="http://schemas.microsoft.com/office/drawing/2014/main" id="{00000000-0008-0000-0500-0000BF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0</xdr:colOff>
      <xdr:row>206</xdr:row>
      <xdr:rowOff>0</xdr:rowOff>
    </xdr:from>
    <xdr:to>
      <xdr:col>19</xdr:col>
      <xdr:colOff>419100</xdr:colOff>
      <xdr:row>235</xdr:row>
      <xdr:rowOff>38100</xdr:rowOff>
    </xdr:to>
    <xdr:graphicFrame macro="">
      <xdr:nvGraphicFramePr>
        <xdr:cNvPr id="4313280" name="Chart 4">
          <a:extLst>
            <a:ext uri="{FF2B5EF4-FFF2-40B4-BE49-F238E27FC236}">
              <a16:creationId xmlns:a16="http://schemas.microsoft.com/office/drawing/2014/main" id="{00000000-0008-0000-0500-0000C0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0</xdr:colOff>
      <xdr:row>236</xdr:row>
      <xdr:rowOff>0</xdr:rowOff>
    </xdr:from>
    <xdr:to>
      <xdr:col>19</xdr:col>
      <xdr:colOff>171450</xdr:colOff>
      <xdr:row>269</xdr:row>
      <xdr:rowOff>19050</xdr:rowOff>
    </xdr:to>
    <xdr:graphicFrame macro="">
      <xdr:nvGraphicFramePr>
        <xdr:cNvPr id="4313281" name="Chart 4">
          <a:extLst>
            <a:ext uri="{FF2B5EF4-FFF2-40B4-BE49-F238E27FC236}">
              <a16:creationId xmlns:a16="http://schemas.microsoft.com/office/drawing/2014/main" id="{00000000-0008-0000-0500-0000C1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85725</xdr:colOff>
      <xdr:row>201</xdr:row>
      <xdr:rowOff>9525</xdr:rowOff>
    </xdr:from>
    <xdr:to>
      <xdr:col>8</xdr:col>
      <xdr:colOff>619125</xdr:colOff>
      <xdr:row>229</xdr:row>
      <xdr:rowOff>104775</xdr:rowOff>
    </xdr:to>
    <xdr:graphicFrame macro="">
      <xdr:nvGraphicFramePr>
        <xdr:cNvPr id="4313282" name="Chart 2">
          <a:extLst>
            <a:ext uri="{FF2B5EF4-FFF2-40B4-BE49-F238E27FC236}">
              <a16:creationId xmlns:a16="http://schemas.microsoft.com/office/drawing/2014/main" id="{00000000-0008-0000-0500-0000C2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231</xdr:row>
      <xdr:rowOff>0</xdr:rowOff>
    </xdr:from>
    <xdr:to>
      <xdr:col>8</xdr:col>
      <xdr:colOff>638175</xdr:colOff>
      <xdr:row>257</xdr:row>
      <xdr:rowOff>95250</xdr:rowOff>
    </xdr:to>
    <xdr:graphicFrame macro="">
      <xdr:nvGraphicFramePr>
        <xdr:cNvPr id="4313283" name="Chart 3">
          <a:extLst>
            <a:ext uri="{FF2B5EF4-FFF2-40B4-BE49-F238E27FC236}">
              <a16:creationId xmlns:a16="http://schemas.microsoft.com/office/drawing/2014/main" id="{00000000-0008-0000-0500-0000C3D04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0.76832</cdr:x>
      <cdr:y>0.98603</cdr:y>
    </cdr:from>
    <cdr:to>
      <cdr:x>0.98404</cdr:x>
      <cdr:y>0.99067</cdr:y>
    </cdr:to>
    <cdr:sp macro="" textlink="">
      <cdr:nvSpPr>
        <cdr:cNvPr id="2" name="TextBox 7"/>
        <cdr:cNvSpPr txBox="1"/>
      </cdr:nvSpPr>
      <cdr:spPr>
        <a:xfrm xmlns:a="http://schemas.openxmlformats.org/drawingml/2006/main">
          <a:off x="5090518" y="5038725"/>
          <a:ext cx="1415058" cy="261938"/>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CA" sz="1050" b="1"/>
            <a:t>Manitoba Agriculture</a:t>
          </a:r>
        </a:p>
      </cdr:txBody>
    </cdr:sp>
  </cdr:relSizeAnchor>
</c:userShapes>
</file>

<file path=xl/drawings/drawing31.xml><?xml version="1.0" encoding="utf-8"?>
<c:userShapes xmlns:c="http://schemas.openxmlformats.org/drawingml/2006/chart">
  <cdr:relSizeAnchor xmlns:cdr="http://schemas.openxmlformats.org/drawingml/2006/chartDrawing">
    <cdr:from>
      <cdr:x>0.73281</cdr:x>
      <cdr:y>0.95389</cdr:y>
    </cdr:from>
    <cdr:to>
      <cdr:x>0.98331</cdr:x>
      <cdr:y>0.98845</cdr:y>
    </cdr:to>
    <cdr:sp macro="" textlink="">
      <cdr:nvSpPr>
        <cdr:cNvPr id="2" name="TextBox 7"/>
        <cdr:cNvSpPr txBox="1"/>
      </cdr:nvSpPr>
      <cdr:spPr>
        <a:xfrm xmlns:a="http://schemas.openxmlformats.org/drawingml/2006/main">
          <a:off x="4857750" y="5374822"/>
          <a:ext cx="1668270" cy="216336"/>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ts val="1000"/>
            </a:lnSpc>
          </a:pPr>
          <a:r>
            <a:rPr lang="en-CA" sz="1050" b="1"/>
            <a:t>Manitoba Agriculture</a:t>
          </a:r>
        </a:p>
      </cdr:txBody>
    </cdr:sp>
  </cdr:relSizeAnchor>
</c:userShapes>
</file>

<file path=xl/drawings/drawing32.xml><?xml version="1.0" encoding="utf-8"?>
<c:userShapes xmlns:c="http://schemas.openxmlformats.org/drawingml/2006/chart">
  <cdr:relSizeAnchor xmlns:cdr="http://schemas.openxmlformats.org/drawingml/2006/chartDrawing">
    <cdr:from>
      <cdr:x>0.52283</cdr:x>
      <cdr:y>0.72975</cdr:y>
    </cdr:from>
    <cdr:to>
      <cdr:x>0.98621</cdr:x>
      <cdr:y>0.94648</cdr:y>
    </cdr:to>
    <cdr:sp macro="" textlink="">
      <cdr:nvSpPr>
        <cdr:cNvPr id="2" name="TextBox 1"/>
        <cdr:cNvSpPr txBox="1"/>
      </cdr:nvSpPr>
      <cdr:spPr>
        <a:xfrm xmlns:a="http://schemas.openxmlformats.org/drawingml/2006/main">
          <a:off x="4610100" y="3667125"/>
          <a:ext cx="18669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CA" sz="1100"/>
            <a:t>Manitoba Agriculture</a:t>
          </a:r>
        </a:p>
      </cdr:txBody>
    </cdr:sp>
  </cdr:relSizeAnchor>
</c:userShapes>
</file>

<file path=xl/drawings/drawing33.xml><?xml version="1.0" encoding="utf-8"?>
<c:userShapes xmlns:c="http://schemas.openxmlformats.org/drawingml/2006/chart">
  <cdr:relSizeAnchor xmlns:cdr="http://schemas.openxmlformats.org/drawingml/2006/chartDrawing">
    <cdr:from>
      <cdr:x>0.69934</cdr:x>
      <cdr:y>0.96649</cdr:y>
    </cdr:from>
    <cdr:to>
      <cdr:x>0.69934</cdr:x>
      <cdr:y>0.96648</cdr:y>
    </cdr:to>
    <cdr:sp macro="" textlink="">
      <cdr:nvSpPr>
        <cdr:cNvPr id="2" name="TextBox 1"/>
        <cdr:cNvSpPr txBox="1"/>
      </cdr:nvSpPr>
      <cdr:spPr>
        <a:xfrm xmlns:a="http://schemas.openxmlformats.org/drawingml/2006/main">
          <a:off x="3555994" y="4648200"/>
          <a:ext cx="1425229"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34.xml><?xml version="1.0" encoding="utf-8"?>
<c:userShapes xmlns:c="http://schemas.openxmlformats.org/drawingml/2006/chart">
  <cdr:relSizeAnchor xmlns:cdr="http://schemas.openxmlformats.org/drawingml/2006/chartDrawing">
    <cdr:from>
      <cdr:x>0.78947</cdr:x>
      <cdr:y>0.95899</cdr:y>
    </cdr:from>
    <cdr:to>
      <cdr:x>0.79046</cdr:x>
      <cdr:y>0.95924</cdr:y>
    </cdr:to>
    <cdr:sp macro="" textlink="">
      <cdr:nvSpPr>
        <cdr:cNvPr id="2" name="TextBox 7"/>
        <cdr:cNvSpPr txBox="1"/>
      </cdr:nvSpPr>
      <cdr:spPr>
        <a:xfrm xmlns:a="http://schemas.openxmlformats.org/drawingml/2006/main">
          <a:off x="5220109" y="5286371"/>
          <a:ext cx="1421537" cy="274868"/>
        </a:xfrm>
        <a:prstGeom xmlns:a="http://schemas.openxmlformats.org/drawingml/2006/main" prst="rect">
          <a:avLst/>
        </a:prstGeom>
        <a:solidFill xmlns:a="http://schemas.openxmlformats.org/drawingml/2006/main">
          <a:sysClr val="window" lastClr="FFFFFF"/>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CA" sz="1050" b="1"/>
            <a:t>Manitoba Agriculture</a:t>
          </a:r>
        </a:p>
      </cdr:txBody>
    </cdr:sp>
  </cdr:relSizeAnchor>
</c:userShapes>
</file>

<file path=xl/drawings/drawing35.xml><?xml version="1.0" encoding="utf-8"?>
<c:userShapes xmlns:c="http://schemas.openxmlformats.org/drawingml/2006/chart">
  <cdr:relSizeAnchor xmlns:cdr="http://schemas.openxmlformats.org/drawingml/2006/chartDrawing">
    <cdr:from>
      <cdr:x>0.76183</cdr:x>
      <cdr:y>0.94428</cdr:y>
    </cdr:from>
    <cdr:to>
      <cdr:x>0.99564</cdr:x>
      <cdr:y>0.99592</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36.xml><?xml version="1.0" encoding="utf-8"?>
<c:userShapes xmlns:c="http://schemas.openxmlformats.org/drawingml/2006/chart">
  <cdr:relSizeAnchor xmlns:cdr="http://schemas.openxmlformats.org/drawingml/2006/chartDrawing">
    <cdr:from>
      <cdr:x>0.76725</cdr:x>
      <cdr:y>0.95819</cdr:y>
    </cdr:from>
    <cdr:to>
      <cdr:x>0.76725</cdr:x>
      <cdr:y>0.95892</cdr:y>
    </cdr:to>
    <cdr:sp macro="" textlink="">
      <cdr:nvSpPr>
        <cdr:cNvPr id="2" name="TextBox 1"/>
        <cdr:cNvSpPr txBox="1"/>
      </cdr:nvSpPr>
      <cdr:spPr>
        <a:xfrm xmlns:a="http://schemas.openxmlformats.org/drawingml/2006/main" rot="10800000" flipH="1" flipV="1">
          <a:off x="4786321" y="4525787"/>
          <a:ext cx="1476367" cy="2462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37.xml><?xml version="1.0" encoding="utf-8"?>
<c:userShapes xmlns:c="http://schemas.openxmlformats.org/drawingml/2006/chart">
  <cdr:relSizeAnchor xmlns:cdr="http://schemas.openxmlformats.org/drawingml/2006/chartDrawing">
    <cdr:from>
      <cdr:x>0.55074</cdr:x>
      <cdr:y>0.88546</cdr:y>
    </cdr:from>
    <cdr:to>
      <cdr:x>0.97757</cdr:x>
      <cdr:y>0.98722</cdr:y>
    </cdr:to>
    <cdr:sp macro="" textlink="">
      <cdr:nvSpPr>
        <cdr:cNvPr id="2" name="TextBox 1"/>
        <cdr:cNvSpPr txBox="1"/>
      </cdr:nvSpPr>
      <cdr:spPr>
        <a:xfrm xmlns:a="http://schemas.openxmlformats.org/drawingml/2006/main">
          <a:off x="3500430" y="4496723"/>
          <a:ext cx="1425237" cy="3106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CA" sz="1100"/>
            <a:t>Manitoba Agriculture</a:t>
          </a:r>
        </a:p>
      </cdr:txBody>
    </cdr:sp>
  </cdr:relSizeAnchor>
</c:userShapes>
</file>

<file path=xl/drawings/drawing38.xml><?xml version="1.0" encoding="utf-8"?>
<c:userShapes xmlns:c="http://schemas.openxmlformats.org/drawingml/2006/chart">
  <cdr:relSizeAnchor xmlns:cdr="http://schemas.openxmlformats.org/drawingml/2006/chartDrawing">
    <cdr:from>
      <cdr:x>0.72625</cdr:x>
      <cdr:y>0.94085</cdr:y>
    </cdr:from>
    <cdr:to>
      <cdr:x>0.99041</cdr:x>
      <cdr:y>0.99865</cdr:y>
    </cdr:to>
    <cdr:sp macro="" textlink="">
      <cdr:nvSpPr>
        <cdr:cNvPr id="2" name="TextBox 1"/>
        <cdr:cNvSpPr txBox="1"/>
      </cdr:nvSpPr>
      <cdr:spPr>
        <a:xfrm xmlns:a="http://schemas.openxmlformats.org/drawingml/2006/main">
          <a:off x="4459062" y="4912179"/>
          <a:ext cx="1601388" cy="2884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39.xml><?xml version="1.0" encoding="utf-8"?>
<c:userShapes xmlns:c="http://schemas.openxmlformats.org/drawingml/2006/chart">
  <cdr:relSizeAnchor xmlns:cdr="http://schemas.openxmlformats.org/drawingml/2006/chartDrawing">
    <cdr:from>
      <cdr:x>0.7745</cdr:x>
      <cdr:y>0.95075</cdr:y>
    </cdr:from>
    <cdr:to>
      <cdr:x>0.77475</cdr:x>
      <cdr:y>0.95099</cdr:y>
    </cdr:to>
    <cdr:sp macro="" textlink="">
      <cdr:nvSpPr>
        <cdr:cNvPr id="2" name="TextBox 1"/>
        <cdr:cNvSpPr txBox="1"/>
      </cdr:nvSpPr>
      <cdr:spPr>
        <a:xfrm xmlns:a="http://schemas.openxmlformats.org/drawingml/2006/main">
          <a:off x="4680857" y="4898572"/>
          <a:ext cx="1401536" cy="2754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4.xml><?xml version="1.0" encoding="utf-8"?>
<c:userShapes xmlns:c="http://schemas.openxmlformats.org/drawingml/2006/chart">
  <cdr:relSizeAnchor xmlns:cdr="http://schemas.openxmlformats.org/drawingml/2006/chartDrawing">
    <cdr:from>
      <cdr:x>0.80547</cdr:x>
      <cdr:y>0.94877</cdr:y>
    </cdr:from>
    <cdr:to>
      <cdr:x>0.80596</cdr:x>
      <cdr:y>0.94853</cdr:y>
    </cdr:to>
    <cdr:sp macro="" textlink="">
      <cdr:nvSpPr>
        <cdr:cNvPr id="2" name="TextBox 1"/>
        <cdr:cNvSpPr txBox="1"/>
      </cdr:nvSpPr>
      <cdr:spPr>
        <a:xfrm xmlns:a="http://schemas.openxmlformats.org/drawingml/2006/main">
          <a:off x="6303169" y="4698207"/>
          <a:ext cx="1478756" cy="2393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40.xml><?xml version="1.0" encoding="utf-8"?>
<c:userShapes xmlns:c="http://schemas.openxmlformats.org/drawingml/2006/chart">
  <cdr:relSizeAnchor xmlns:cdr="http://schemas.openxmlformats.org/drawingml/2006/chartDrawing">
    <cdr:from>
      <cdr:x>0.75617</cdr:x>
      <cdr:y>0.94549</cdr:y>
    </cdr:from>
    <cdr:to>
      <cdr:x>0.99613</cdr:x>
      <cdr:y>0.99592</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41.xml><?xml version="1.0" encoding="utf-8"?>
<c:userShapes xmlns:c="http://schemas.openxmlformats.org/drawingml/2006/chart">
  <cdr:relSizeAnchor xmlns:cdr="http://schemas.openxmlformats.org/drawingml/2006/chartDrawing">
    <cdr:from>
      <cdr:x>0.75296</cdr:x>
      <cdr:y>0.94403</cdr:y>
    </cdr:from>
    <cdr:to>
      <cdr:x>0.99613</cdr:x>
      <cdr:y>0.9964</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42.xml><?xml version="1.0" encoding="utf-8"?>
<c:userShapes xmlns:c="http://schemas.openxmlformats.org/drawingml/2006/chart">
  <cdr:relSizeAnchor xmlns:cdr="http://schemas.openxmlformats.org/drawingml/2006/chartDrawing">
    <cdr:from>
      <cdr:x>0.75618</cdr:x>
      <cdr:y>0.94549</cdr:y>
    </cdr:from>
    <cdr:to>
      <cdr:x>0.99613</cdr:x>
      <cdr:y>0.99592</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43.xml><?xml version="1.0" encoding="utf-8"?>
<c:userShapes xmlns:c="http://schemas.openxmlformats.org/drawingml/2006/chart">
  <cdr:relSizeAnchor xmlns:cdr="http://schemas.openxmlformats.org/drawingml/2006/chartDrawing">
    <cdr:from>
      <cdr:x>0.75394</cdr:x>
      <cdr:y>0.94402</cdr:y>
    </cdr:from>
    <cdr:to>
      <cdr:x>0.99613</cdr:x>
      <cdr:y>0.9964</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44.xml><?xml version="1.0" encoding="utf-8"?>
<c:userShapes xmlns:c="http://schemas.openxmlformats.org/drawingml/2006/chart">
  <cdr:relSizeAnchor xmlns:cdr="http://schemas.openxmlformats.org/drawingml/2006/chartDrawing">
    <cdr:from>
      <cdr:x>0.7765</cdr:x>
      <cdr:y>0.94655</cdr:y>
    </cdr:from>
    <cdr:to>
      <cdr:x>0.77674</cdr:x>
      <cdr:y>0.94631</cdr:y>
    </cdr:to>
    <cdr:sp macro="" textlink="">
      <cdr:nvSpPr>
        <cdr:cNvPr id="2" name="TextBox 1"/>
        <cdr:cNvSpPr txBox="1"/>
      </cdr:nvSpPr>
      <cdr:spPr>
        <a:xfrm xmlns:a="http://schemas.openxmlformats.org/drawingml/2006/main">
          <a:off x="5139251" y="4296228"/>
          <a:ext cx="1498313" cy="241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5.xml><?xml version="1.0" encoding="utf-8"?>
<c:userShapes xmlns:c="http://schemas.openxmlformats.org/drawingml/2006/chart">
  <cdr:relSizeAnchor xmlns:cdr="http://schemas.openxmlformats.org/drawingml/2006/chartDrawing">
    <cdr:from>
      <cdr:x>0.80151</cdr:x>
      <cdr:y>0.95011</cdr:y>
    </cdr:from>
    <cdr:to>
      <cdr:x>0.99163</cdr:x>
      <cdr:y>0.99551</cdr:y>
    </cdr:to>
    <cdr:sp macro="" textlink="">
      <cdr:nvSpPr>
        <cdr:cNvPr id="2" name="TextBox 1"/>
        <cdr:cNvSpPr txBox="1"/>
      </cdr:nvSpPr>
      <cdr:spPr>
        <a:xfrm xmlns:a="http://schemas.openxmlformats.org/drawingml/2006/main" rot="10800000" flipH="1" flipV="1">
          <a:off x="6269832" y="4536281"/>
          <a:ext cx="1475294" cy="2143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6.xml><?xml version="1.0" encoding="utf-8"?>
<c:userShapes xmlns:c="http://schemas.openxmlformats.org/drawingml/2006/chart">
  <cdr:relSizeAnchor xmlns:cdr="http://schemas.openxmlformats.org/drawingml/2006/chartDrawing">
    <cdr:from>
      <cdr:x>0.80886</cdr:x>
      <cdr:y>0.94524</cdr:y>
    </cdr:from>
    <cdr:to>
      <cdr:x>0.99613</cdr:x>
      <cdr:y>0.99616</cdr:y>
    </cdr:to>
    <cdr:sp macro="" textlink="">
      <cdr:nvSpPr>
        <cdr:cNvPr id="3" name="TextBox 1"/>
        <cdr:cNvSpPr txBox="1"/>
      </cdr:nvSpPr>
      <cdr:spPr>
        <a:xfrm xmlns:a="http://schemas.openxmlformats.org/drawingml/2006/main">
          <a:off x="6298405" y="4500563"/>
          <a:ext cx="145340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7.xml><?xml version="1.0" encoding="utf-8"?>
<c:userShapes xmlns:c="http://schemas.openxmlformats.org/drawingml/2006/chart">
  <cdr:relSizeAnchor xmlns:cdr="http://schemas.openxmlformats.org/drawingml/2006/chartDrawing">
    <cdr:from>
      <cdr:x>0.80551</cdr:x>
      <cdr:y>0.9425</cdr:y>
    </cdr:from>
    <cdr:to>
      <cdr:x>0.99588</cdr:x>
      <cdr:y>0.99616</cdr:y>
    </cdr:to>
    <cdr:sp macro="" textlink="">
      <cdr:nvSpPr>
        <cdr:cNvPr id="3" name="TextBox 1"/>
        <cdr:cNvSpPr txBox="1"/>
      </cdr:nvSpPr>
      <cdr:spPr>
        <a:xfrm xmlns:a="http://schemas.openxmlformats.org/drawingml/2006/main">
          <a:off x="6262687" y="4488657"/>
          <a:ext cx="1489122" cy="2555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8.xml><?xml version="1.0" encoding="utf-8"?>
<c:userShapes xmlns:c="http://schemas.openxmlformats.org/drawingml/2006/chart">
  <cdr:relSizeAnchor xmlns:cdr="http://schemas.openxmlformats.org/drawingml/2006/chartDrawing">
    <cdr:from>
      <cdr:x>0.80232</cdr:x>
      <cdr:y>0.94859</cdr:y>
    </cdr:from>
    <cdr:to>
      <cdr:x>0.99163</cdr:x>
      <cdr:y>0.99551</cdr:y>
    </cdr:to>
    <cdr:sp macro="" textlink="">
      <cdr:nvSpPr>
        <cdr:cNvPr id="2" name="TextBox 1"/>
        <cdr:cNvSpPr txBox="1"/>
      </cdr:nvSpPr>
      <cdr:spPr>
        <a:xfrm xmlns:a="http://schemas.openxmlformats.org/drawingml/2006/main" rot="10800000" flipH="1" flipV="1">
          <a:off x="6262687" y="4524375"/>
          <a:ext cx="1482439" cy="2262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9.xml><?xml version="1.0" encoding="utf-8"?>
<c:userShapes xmlns:c="http://schemas.openxmlformats.org/drawingml/2006/chart">
  <cdr:relSizeAnchor xmlns:cdr="http://schemas.openxmlformats.org/drawingml/2006/chartDrawing">
    <cdr:from>
      <cdr:x>0.75296</cdr:x>
      <cdr:y>0.93766</cdr:y>
    </cdr:from>
    <cdr:to>
      <cdr:x>0.99613</cdr:x>
      <cdr:y>0.99737</cdr:y>
    </cdr:to>
    <cdr:sp macro="" textlink="">
      <cdr:nvSpPr>
        <cdr:cNvPr id="3" name="TextBox 1"/>
        <cdr:cNvSpPr txBox="1"/>
      </cdr:nvSpPr>
      <cdr:spPr>
        <a:xfrm xmlns:a="http://schemas.openxmlformats.org/drawingml/2006/main">
          <a:off x="4712492" y="4500562"/>
          <a:ext cx="1497493" cy="243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3:J51"/>
  <sheetViews>
    <sheetView showGridLines="0" tabSelected="1" zoomScaleNormal="100" workbookViewId="0"/>
  </sheetViews>
  <sheetFormatPr defaultColWidth="8.86328125" defaultRowHeight="15" x14ac:dyDescent="0.5"/>
  <cols>
    <col min="1" max="1" width="3.54296875" style="3" customWidth="1"/>
    <col min="2" max="4" width="8.86328125" style="3"/>
    <col min="5" max="5" width="9.6796875" style="3" customWidth="1"/>
    <col min="6" max="6" width="6.453125" style="3" customWidth="1"/>
    <col min="7" max="7" width="8.76953125" style="3" customWidth="1"/>
    <col min="8" max="8" width="10.6796875" style="3" customWidth="1"/>
    <col min="9" max="9" width="11" style="3" customWidth="1"/>
    <col min="10" max="16384" width="8.86328125" style="3"/>
  </cols>
  <sheetData>
    <row r="3" spans="1:10" s="45" customFormat="1" ht="27" x14ac:dyDescent="0.5">
      <c r="A3" s="44" t="s">
        <v>214</v>
      </c>
    </row>
    <row r="4" spans="1:10" s="45" customFormat="1" ht="15" customHeight="1" x14ac:dyDescent="0.5">
      <c r="A4" s="44"/>
    </row>
    <row r="5" spans="1:10" ht="19.8" x14ac:dyDescent="0.5">
      <c r="A5" s="254" t="s">
        <v>140</v>
      </c>
      <c r="B5" s="255"/>
      <c r="C5" s="255"/>
      <c r="D5" s="255"/>
      <c r="E5" s="255"/>
      <c r="F5" s="255"/>
      <c r="G5" s="255"/>
      <c r="H5" s="255"/>
      <c r="I5" s="255"/>
    </row>
    <row r="6" spans="1:10" ht="25.2" x14ac:dyDescent="0.85">
      <c r="A6" s="258" t="str">
        <f>"Irrigated Processing Potato Costs - 2022/2023"</f>
        <v>Irrigated Processing Potato Costs - 2022/2023</v>
      </c>
      <c r="B6" s="259"/>
      <c r="C6" s="259"/>
      <c r="D6" s="259"/>
      <c r="E6" s="259"/>
      <c r="F6" s="259"/>
      <c r="G6" s="259"/>
      <c r="H6" s="259"/>
      <c r="I6" s="259"/>
      <c r="J6"/>
    </row>
    <row r="7" spans="1:10" ht="20.100000000000001" x14ac:dyDescent="0.5">
      <c r="A7" s="256" t="str">
        <f>"Based on "&amp;Input!G18&amp;" Acres Production"</f>
        <v>Based on 780 Acres Production</v>
      </c>
      <c r="B7" s="257"/>
      <c r="C7" s="257"/>
      <c r="D7" s="257"/>
      <c r="E7" s="257"/>
      <c r="F7" s="257"/>
      <c r="G7" s="257"/>
      <c r="H7" s="257"/>
      <c r="I7" s="257"/>
    </row>
    <row r="9" spans="1:10" ht="5.25" customHeight="1" x14ac:dyDescent="0.5"/>
    <row r="11" spans="1:10" ht="7.5" customHeight="1" x14ac:dyDescent="0.5"/>
    <row r="12" spans="1:10" x14ac:dyDescent="0.5">
      <c r="H12" s="42" t="s">
        <v>575</v>
      </c>
      <c r="I12" s="47">
        <v>2022</v>
      </c>
    </row>
    <row r="13" spans="1:10" x14ac:dyDescent="0.5">
      <c r="G13" s="42"/>
      <c r="H13" s="41"/>
    </row>
    <row r="14" spans="1:10" x14ac:dyDescent="0.5">
      <c r="G14" s="42"/>
      <c r="H14" s="41"/>
    </row>
    <row r="15" spans="1:10" x14ac:dyDescent="0.5">
      <c r="G15" s="42"/>
      <c r="H15" s="41"/>
    </row>
    <row r="16" spans="1:10" x14ac:dyDescent="0.5">
      <c r="H16" s="21"/>
      <c r="I16" s="15"/>
    </row>
    <row r="17" spans="2:10" ht="18" customHeight="1" x14ac:dyDescent="0.5">
      <c r="B17" s="260" t="s">
        <v>571</v>
      </c>
      <c r="C17" s="260"/>
      <c r="D17" s="260"/>
      <c r="E17" s="260"/>
      <c r="F17" s="260"/>
      <c r="G17" s="260"/>
      <c r="H17" s="260"/>
      <c r="I17" s="260"/>
      <c r="J17" s="22"/>
    </row>
    <row r="18" spans="2:10" ht="18" customHeight="1" x14ac:dyDescent="0.5">
      <c r="B18" s="260"/>
      <c r="C18" s="260"/>
      <c r="D18" s="260"/>
      <c r="E18" s="260"/>
      <c r="F18" s="260"/>
      <c r="G18" s="260"/>
      <c r="H18" s="260"/>
      <c r="I18" s="260"/>
      <c r="J18" s="22"/>
    </row>
    <row r="19" spans="2:10" ht="18" customHeight="1" x14ac:dyDescent="0.5">
      <c r="B19" s="260"/>
      <c r="C19" s="260"/>
      <c r="D19" s="260"/>
      <c r="E19" s="260"/>
      <c r="F19" s="260"/>
      <c r="G19" s="260"/>
      <c r="H19" s="260"/>
      <c r="I19" s="260"/>
      <c r="J19" s="22"/>
    </row>
    <row r="20" spans="2:10" ht="18" customHeight="1" x14ac:dyDescent="0.5">
      <c r="B20" s="260"/>
      <c r="C20" s="260"/>
      <c r="D20" s="260"/>
      <c r="E20" s="260"/>
      <c r="F20" s="260"/>
      <c r="G20" s="260"/>
      <c r="H20" s="260"/>
      <c r="I20" s="260"/>
      <c r="J20" s="22"/>
    </row>
    <row r="21" spans="2:10" ht="18" customHeight="1" x14ac:dyDescent="0.5">
      <c r="B21" s="260"/>
      <c r="C21" s="260"/>
      <c r="D21" s="260"/>
      <c r="E21" s="260"/>
      <c r="F21" s="260"/>
      <c r="G21" s="260"/>
      <c r="H21" s="260"/>
      <c r="I21" s="260"/>
      <c r="J21" s="22"/>
    </row>
    <row r="22" spans="2:10" ht="18" customHeight="1" x14ac:dyDescent="0.5">
      <c r="B22" s="260"/>
      <c r="C22" s="260"/>
      <c r="D22" s="260"/>
      <c r="E22" s="260"/>
      <c r="F22" s="260"/>
      <c r="G22" s="260"/>
      <c r="H22" s="260"/>
      <c r="I22" s="260"/>
      <c r="J22" s="22"/>
    </row>
    <row r="23" spans="2:10" ht="18" customHeight="1" x14ac:dyDescent="0.5">
      <c r="B23" s="260"/>
      <c r="C23" s="260"/>
      <c r="D23" s="260"/>
      <c r="E23" s="260"/>
      <c r="F23" s="260"/>
      <c r="G23" s="260"/>
      <c r="H23" s="260"/>
      <c r="I23" s="260"/>
      <c r="J23" s="22"/>
    </row>
    <row r="24" spans="2:10" ht="18" customHeight="1" x14ac:dyDescent="0.5">
      <c r="B24" s="260"/>
      <c r="C24" s="260"/>
      <c r="D24" s="260"/>
      <c r="E24" s="260"/>
      <c r="F24" s="260"/>
      <c r="G24" s="260"/>
      <c r="H24" s="260"/>
      <c r="I24" s="260"/>
      <c r="J24" s="22"/>
    </row>
    <row r="25" spans="2:10" ht="18" customHeight="1" x14ac:dyDescent="0.5">
      <c r="B25" s="260"/>
      <c r="C25" s="260"/>
      <c r="D25" s="260"/>
      <c r="E25" s="260"/>
      <c r="F25" s="260"/>
      <c r="G25" s="260"/>
      <c r="H25" s="260"/>
      <c r="I25" s="260"/>
      <c r="J25" s="22"/>
    </row>
    <row r="26" spans="2:10" ht="18" customHeight="1" x14ac:dyDescent="0.5">
      <c r="B26" s="260" t="s">
        <v>404</v>
      </c>
      <c r="C26" s="260"/>
      <c r="D26" s="260"/>
      <c r="E26" s="260"/>
      <c r="F26" s="260"/>
      <c r="G26" s="260"/>
      <c r="H26" s="260"/>
      <c r="I26" s="260"/>
    </row>
    <row r="27" spans="2:10" ht="18" customHeight="1" x14ac:dyDescent="0.5">
      <c r="B27" s="260"/>
      <c r="C27" s="260"/>
      <c r="D27" s="260"/>
      <c r="E27" s="260"/>
      <c r="F27" s="260"/>
      <c r="G27" s="260"/>
      <c r="H27" s="260"/>
      <c r="I27" s="260"/>
    </row>
    <row r="28" spans="2:10" ht="18" customHeight="1" x14ac:dyDescent="0.5">
      <c r="B28" s="260"/>
      <c r="C28" s="260"/>
      <c r="D28" s="260"/>
      <c r="E28" s="260"/>
      <c r="F28" s="260"/>
      <c r="G28" s="260"/>
      <c r="H28" s="260"/>
      <c r="I28" s="260"/>
      <c r="J28" s="22"/>
    </row>
    <row r="29" spans="2:10" ht="18" customHeight="1" x14ac:dyDescent="0.5">
      <c r="B29" s="260"/>
      <c r="C29" s="260"/>
      <c r="D29" s="260"/>
      <c r="E29" s="260"/>
      <c r="F29" s="260"/>
      <c r="G29" s="260"/>
      <c r="H29" s="260"/>
      <c r="I29" s="260"/>
      <c r="J29" s="43"/>
    </row>
    <row r="30" spans="2:10" ht="18" customHeight="1" x14ac:dyDescent="0.5">
      <c r="B30" s="46"/>
      <c r="C30" s="46"/>
      <c r="D30" s="46"/>
      <c r="E30" s="46"/>
      <c r="F30" s="46"/>
      <c r="G30" s="46"/>
      <c r="H30" s="46"/>
      <c r="I30" s="46"/>
      <c r="J30" s="43"/>
    </row>
    <row r="31" spans="2:10" ht="18" customHeight="1" x14ac:dyDescent="0.5">
      <c r="B31" s="46"/>
      <c r="C31" s="46"/>
      <c r="D31" s="46"/>
      <c r="E31" s="46"/>
      <c r="F31" s="46"/>
      <c r="G31" s="46"/>
      <c r="H31" s="46"/>
      <c r="I31" s="46"/>
      <c r="J31" s="43"/>
    </row>
    <row r="32" spans="2:10" ht="18" customHeight="1" x14ac:dyDescent="0.5">
      <c r="B32" s="145" t="s">
        <v>405</v>
      </c>
      <c r="C32" s="145"/>
      <c r="D32" s="145"/>
      <c r="E32" s="145"/>
      <c r="F32" s="145"/>
      <c r="G32" s="145"/>
      <c r="H32" s="145"/>
      <c r="I32" s="145"/>
      <c r="J32" s="145"/>
    </row>
    <row r="33" spans="2:10" ht="18" customHeight="1" x14ac:dyDescent="0.5">
      <c r="B33" s="145"/>
      <c r="C33" s="145"/>
      <c r="D33" s="145"/>
      <c r="E33" s="145"/>
      <c r="F33" s="145"/>
      <c r="G33" s="145"/>
      <c r="H33" s="145"/>
      <c r="I33" s="145"/>
      <c r="J33" s="145"/>
    </row>
    <row r="34" spans="2:10" ht="18" customHeight="1" x14ac:dyDescent="0.5">
      <c r="B34" s="145"/>
      <c r="C34" s="145"/>
      <c r="D34" s="145"/>
      <c r="E34" s="145"/>
      <c r="F34" s="145"/>
      <c r="G34" s="145"/>
      <c r="H34" s="145"/>
      <c r="I34" s="145"/>
      <c r="J34" s="145"/>
    </row>
    <row r="35" spans="2:10" ht="18" customHeight="1" x14ac:dyDescent="0.5">
      <c r="B35" s="145"/>
      <c r="C35" s="145"/>
      <c r="D35" s="145"/>
      <c r="E35" s="145"/>
      <c r="F35" s="145"/>
      <c r="G35" s="145"/>
      <c r="H35" s="145"/>
      <c r="I35" s="145"/>
      <c r="J35" s="145"/>
    </row>
    <row r="36" spans="2:10" ht="18" customHeight="1" x14ac:dyDescent="0.5">
      <c r="B36" s="145"/>
      <c r="C36" s="145"/>
      <c r="D36" s="145"/>
      <c r="E36" s="145"/>
      <c r="F36" s="145"/>
      <c r="G36" s="145"/>
      <c r="H36" s="145"/>
      <c r="I36" s="145"/>
      <c r="J36" s="145"/>
    </row>
    <row r="37" spans="2:10" ht="18" customHeight="1" x14ac:dyDescent="0.5">
      <c r="B37" s="145"/>
      <c r="C37" s="145"/>
      <c r="D37" s="145"/>
      <c r="E37" s="145"/>
      <c r="F37" s="145"/>
      <c r="G37" s="145"/>
      <c r="H37" s="145"/>
      <c r="I37" s="145"/>
      <c r="J37" s="145"/>
    </row>
    <row r="38" spans="2:10" ht="18" customHeight="1" x14ac:dyDescent="0.5">
      <c r="B38" s="145"/>
      <c r="C38" s="145"/>
      <c r="D38" s="145"/>
      <c r="E38" s="145"/>
      <c r="F38" s="145"/>
      <c r="G38" s="145"/>
      <c r="H38" s="145"/>
      <c r="I38" s="145"/>
      <c r="J38" s="145"/>
    </row>
    <row r="39" spans="2:10" ht="18" customHeight="1" x14ac:dyDescent="0.5">
      <c r="B39" s="145" t="s">
        <v>576</v>
      </c>
      <c r="C39" s="146"/>
      <c r="D39" s="146"/>
      <c r="E39" s="146"/>
      <c r="F39" s="146"/>
      <c r="H39" s="252" t="s">
        <v>577</v>
      </c>
      <c r="I39" s="146"/>
      <c r="J39" s="146"/>
    </row>
    <row r="40" spans="2:10" ht="18" customHeight="1" x14ac:dyDescent="0.5">
      <c r="B40" s="145" t="s">
        <v>408</v>
      </c>
      <c r="C40" s="147"/>
      <c r="D40" s="147"/>
      <c r="E40" s="147"/>
      <c r="F40" s="147"/>
      <c r="G40" s="147"/>
      <c r="H40" s="147"/>
      <c r="I40" s="147"/>
    </row>
    <row r="41" spans="2:10" ht="18" customHeight="1" x14ac:dyDescent="0.5">
      <c r="B41" s="145"/>
      <c r="C41" s="147"/>
      <c r="D41" s="147"/>
      <c r="E41" s="147"/>
      <c r="F41" s="147"/>
      <c r="G41" s="147"/>
      <c r="H41" s="147"/>
      <c r="I41" s="147"/>
    </row>
    <row r="42" spans="2:10" ht="18" customHeight="1" x14ac:dyDescent="0.5">
      <c r="B42" s="145"/>
      <c r="C42" s="147"/>
      <c r="D42" s="147"/>
      <c r="E42" s="147"/>
      <c r="F42" s="147"/>
      <c r="G42" s="147"/>
      <c r="H42" s="147"/>
      <c r="I42" s="147"/>
    </row>
    <row r="43" spans="2:10" ht="18" customHeight="1" x14ac:dyDescent="0.5">
      <c r="B43" s="145"/>
      <c r="C43" s="147"/>
      <c r="D43" s="147"/>
      <c r="E43" s="147"/>
      <c r="F43" s="147"/>
      <c r="G43" s="147"/>
      <c r="H43" s="147"/>
      <c r="I43" s="147"/>
    </row>
    <row r="44" spans="2:10" ht="18" customHeight="1" x14ac:dyDescent="0.5">
      <c r="B44" s="145"/>
      <c r="C44" s="147"/>
      <c r="D44" s="147"/>
      <c r="E44" s="147"/>
      <c r="F44" s="147"/>
      <c r="G44" s="147"/>
      <c r="H44" s="147"/>
      <c r="I44" s="147"/>
    </row>
    <row r="45" spans="2:10" ht="18" customHeight="1" x14ac:dyDescent="0.5">
      <c r="B45" s="145"/>
      <c r="C45" s="147"/>
      <c r="D45" s="147"/>
      <c r="E45" s="147"/>
      <c r="F45" s="147"/>
      <c r="G45" s="147"/>
      <c r="H45" s="147"/>
      <c r="I45" s="147"/>
    </row>
    <row r="46" spans="2:10" ht="18" customHeight="1" x14ac:dyDescent="0.5">
      <c r="B46" s="145"/>
      <c r="C46" s="147"/>
      <c r="D46" s="147"/>
      <c r="E46" s="147"/>
      <c r="F46" s="147"/>
      <c r="G46" s="147"/>
      <c r="H46" s="147"/>
      <c r="I46" s="147"/>
    </row>
    <row r="47" spans="2:10" ht="18" customHeight="1" x14ac:dyDescent="0.5">
      <c r="B47" s="145"/>
      <c r="C47" s="147"/>
      <c r="D47" s="147"/>
      <c r="E47" s="147"/>
      <c r="F47" s="147"/>
      <c r="G47" s="147"/>
      <c r="H47" s="147"/>
      <c r="I47" s="147"/>
    </row>
    <row r="48" spans="2:10" ht="18" customHeight="1" x14ac:dyDescent="0.5">
      <c r="B48" s="253" t="s">
        <v>572</v>
      </c>
      <c r="C48" s="253"/>
      <c r="D48" s="253"/>
      <c r="E48" s="253"/>
      <c r="F48" s="253"/>
      <c r="G48" s="253"/>
      <c r="H48" s="253"/>
      <c r="I48" s="253"/>
      <c r="J48" s="22"/>
    </row>
    <row r="49" spans="2:10" ht="18" customHeight="1" x14ac:dyDescent="0.5">
      <c r="B49" s="253"/>
      <c r="C49" s="253"/>
      <c r="D49" s="253"/>
      <c r="E49" s="253"/>
      <c r="F49" s="253"/>
      <c r="G49" s="253"/>
      <c r="H49" s="253"/>
      <c r="I49" s="253"/>
      <c r="J49" s="22"/>
    </row>
    <row r="50" spans="2:10" ht="18" customHeight="1" x14ac:dyDescent="0.5">
      <c r="B50" s="253"/>
      <c r="C50" s="253"/>
      <c r="D50" s="253"/>
      <c r="E50" s="253"/>
      <c r="F50" s="253"/>
      <c r="G50" s="253"/>
      <c r="H50" s="253"/>
      <c r="I50" s="253"/>
      <c r="J50" s="22"/>
    </row>
    <row r="51" spans="2:10" ht="18" customHeight="1" x14ac:dyDescent="0.5">
      <c r="B51" s="46"/>
      <c r="C51" s="46"/>
      <c r="D51" s="46"/>
      <c r="E51" s="46"/>
      <c r="F51" s="46"/>
      <c r="G51" s="46"/>
      <c r="H51" s="46"/>
      <c r="I51" s="46"/>
      <c r="J51" s="22"/>
    </row>
  </sheetData>
  <sheetProtection algorithmName="SHA-512" hashValue="Iysw0zTGO3vT+7txB4n1wCitM0qHdA6w/B3OQODt54yeoQohFN4iPUOehpMFZy1i0aVXLbOAem7TtQnC1nRBiA==" saltValue="OaJBTKoJsZ51xXYwnXm0rg==" spinCount="100000" sheet="1" objects="1" scenarios="1"/>
  <mergeCells count="6">
    <mergeCell ref="B48:I50"/>
    <mergeCell ref="A5:I5"/>
    <mergeCell ref="A7:I7"/>
    <mergeCell ref="A6:I6"/>
    <mergeCell ref="B17:I25"/>
    <mergeCell ref="B26:I29"/>
  </mergeCells>
  <phoneticPr fontId="10" type="noConversion"/>
  <pageMargins left="0.74803149606299213" right="0.46" top="0.86614173228346458" bottom="0.98425196850393704" header="0.51181102362204722" footer="0.51181102362204722"/>
  <pageSetup scale="76" orientation="portrait" horizontalDpi="4294967295" r:id="rId1"/>
  <headerFooter alignWithMargins="0"/>
  <rowBreaks count="1" manualBreakCount="1">
    <brk id="5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4"/>
  <sheetViews>
    <sheetView showGridLines="0" zoomScaleNormal="100" workbookViewId="0"/>
  </sheetViews>
  <sheetFormatPr defaultColWidth="8.86328125" defaultRowHeight="15" x14ac:dyDescent="0.5"/>
  <cols>
    <col min="1" max="1" width="3.08984375" style="2" customWidth="1"/>
    <col min="2" max="2" width="4.453125" style="2" customWidth="1"/>
    <col min="3" max="3" width="19.76953125" style="2" customWidth="1"/>
    <col min="4" max="4" width="13.54296875" style="2" customWidth="1"/>
    <col min="5" max="5" width="1.31640625" style="2" customWidth="1"/>
    <col min="6" max="9" width="10.76953125" style="2" customWidth="1"/>
    <col min="10" max="10" width="1.76953125" style="2" customWidth="1"/>
    <col min="11" max="16384" width="8.86328125" style="2"/>
  </cols>
  <sheetData>
    <row r="1" spans="1:11" ht="21.75" customHeight="1" x14ac:dyDescent="0.5">
      <c r="A1" s="48"/>
      <c r="B1" s="261" t="s">
        <v>574</v>
      </c>
      <c r="C1" s="262"/>
      <c r="D1" s="262"/>
      <c r="E1" s="262"/>
      <c r="F1" s="262"/>
      <c r="G1" s="262"/>
      <c r="H1" s="262"/>
      <c r="I1" s="262"/>
      <c r="J1" s="262"/>
      <c r="K1" s="262"/>
    </row>
    <row r="2" spans="1:11" ht="8.1" customHeight="1" x14ac:dyDescent="0.5"/>
    <row r="3" spans="1:11" ht="15.75" customHeight="1" thickBot="1" x14ac:dyDescent="0.55000000000000004">
      <c r="F3" s="264" t="s">
        <v>308</v>
      </c>
      <c r="G3" s="264"/>
      <c r="H3" s="264"/>
      <c r="I3" s="264"/>
    </row>
    <row r="4" spans="1:11" x14ac:dyDescent="0.5">
      <c r="A4" s="6" t="s">
        <v>125</v>
      </c>
      <c r="B4" s="4" t="s">
        <v>141</v>
      </c>
      <c r="D4" s="7" t="s">
        <v>215</v>
      </c>
      <c r="F4" s="7" t="str">
        <f>Input!D31&amp;" CWT"</f>
        <v>325 CWT</v>
      </c>
      <c r="G4" s="7" t="str">
        <f>Input!E31&amp;" CWT"</f>
        <v>375 CWT</v>
      </c>
      <c r="H4" s="7" t="str">
        <f>Input!F31&amp;" CWT"</f>
        <v>425 CWT</v>
      </c>
      <c r="I4" s="7" t="str">
        <f>Input!G31&amp;" CWT"</f>
        <v>475 CWT</v>
      </c>
      <c r="J4" s="7"/>
      <c r="K4" s="7" t="s">
        <v>174</v>
      </c>
    </row>
    <row r="5" spans="1:11" x14ac:dyDescent="0.5">
      <c r="B5" s="11" t="s">
        <v>99</v>
      </c>
      <c r="C5" s="20" t="s">
        <v>193</v>
      </c>
      <c r="D5" s="16">
        <f>Details!E32</f>
        <v>356.94</v>
      </c>
      <c r="F5" s="16">
        <f>ROUND(+D5/Input!$D$31,2)</f>
        <v>1.1000000000000001</v>
      </c>
      <c r="G5" s="16">
        <f>ROUND(+D5/Input!$E$31,2)</f>
        <v>0.95</v>
      </c>
      <c r="H5" s="16">
        <f>ROUND(+D5/Input!$F$31,2)</f>
        <v>0.84</v>
      </c>
      <c r="I5" s="16">
        <f>ROUND(+D5/Input!$G$31,2)</f>
        <v>0.75</v>
      </c>
      <c r="K5" s="13"/>
    </row>
    <row r="6" spans="1:11" x14ac:dyDescent="0.5">
      <c r="B6" s="11"/>
      <c r="C6" s="20" t="s">
        <v>194</v>
      </c>
      <c r="D6" s="16">
        <f>Details!E38</f>
        <v>92.34</v>
      </c>
      <c r="F6" s="16">
        <f>ROUND(+D6/Input!$D$31,2)</f>
        <v>0.28000000000000003</v>
      </c>
      <c r="G6" s="16">
        <f>ROUND(+D6/Input!$E$31,2)</f>
        <v>0.25</v>
      </c>
      <c r="H6" s="16">
        <f>ROUND(+D6/Input!$F$31,2)</f>
        <v>0.22</v>
      </c>
      <c r="I6" s="16">
        <f>ROUND(+D6/Input!$G$31,2)</f>
        <v>0.19</v>
      </c>
      <c r="K6" s="13"/>
    </row>
    <row r="7" spans="1:11" x14ac:dyDescent="0.5">
      <c r="B7" s="11" t="s">
        <v>100</v>
      </c>
      <c r="C7" s="2" t="s">
        <v>49</v>
      </c>
      <c r="D7" s="16">
        <f>Details!E67</f>
        <v>621.49</v>
      </c>
      <c r="F7" s="16">
        <f>ROUND(+D7/Input!$D$31,2)</f>
        <v>1.91</v>
      </c>
      <c r="G7" s="16">
        <f>ROUND(+D7/Input!$E$31,2)</f>
        <v>1.66</v>
      </c>
      <c r="H7" s="16">
        <f>ROUND(+D7/Input!$F$31,2)</f>
        <v>1.46</v>
      </c>
      <c r="I7" s="16">
        <f>ROUND(+D7/Input!$G$31,2)</f>
        <v>1.31</v>
      </c>
      <c r="K7" s="14"/>
    </row>
    <row r="8" spans="1:11" x14ac:dyDescent="0.5">
      <c r="B8" s="11" t="s">
        <v>101</v>
      </c>
      <c r="C8" s="2" t="s">
        <v>50</v>
      </c>
      <c r="D8" s="16">
        <f>Details!E72</f>
        <v>64.67</v>
      </c>
      <c r="F8" s="16">
        <f>ROUND(+D8/Input!$D$31,2)</f>
        <v>0.2</v>
      </c>
      <c r="G8" s="16">
        <f>ROUND(+D8/Input!$E$31,2)</f>
        <v>0.17</v>
      </c>
      <c r="H8" s="16">
        <f>ROUND(+D8/Input!$F$31,2)</f>
        <v>0.15</v>
      </c>
      <c r="I8" s="16">
        <f>ROUND(+D8/Input!$G$31,2)</f>
        <v>0.14000000000000001</v>
      </c>
      <c r="K8" s="14"/>
    </row>
    <row r="9" spans="1:11" x14ac:dyDescent="0.5">
      <c r="B9" s="11" t="s">
        <v>102</v>
      </c>
      <c r="C9" s="2" t="s">
        <v>184</v>
      </c>
      <c r="D9" s="16">
        <f>Details!E91</f>
        <v>249</v>
      </c>
      <c r="F9" s="16">
        <f>ROUND(+D9/Input!$D$31,2)</f>
        <v>0.77</v>
      </c>
      <c r="G9" s="16">
        <f>ROUND(+D9/Input!$E$31,2)</f>
        <v>0.66</v>
      </c>
      <c r="H9" s="16">
        <f>ROUND(+D9/Input!$F$31,2)</f>
        <v>0.59</v>
      </c>
      <c r="I9" s="16">
        <f>ROUND(+D9/Input!$G$31,2)</f>
        <v>0.52</v>
      </c>
      <c r="K9" s="14"/>
    </row>
    <row r="10" spans="1:11" x14ac:dyDescent="0.5">
      <c r="B10" s="11" t="s">
        <v>103</v>
      </c>
      <c r="C10" s="2" t="s">
        <v>142</v>
      </c>
      <c r="D10" s="16">
        <f>Details!E172</f>
        <v>83.882499999999993</v>
      </c>
      <c r="F10" s="16">
        <f>Details!E125</f>
        <v>0.26051992753623188</v>
      </c>
      <c r="G10" s="16">
        <f>Details!E140</f>
        <v>0.24327115987460815</v>
      </c>
      <c r="H10" s="16">
        <f>Details!E155</f>
        <v>0.23078531855955675</v>
      </c>
      <c r="I10" s="16">
        <f>Details!E170</f>
        <v>0.22033044554455444</v>
      </c>
      <c r="K10" s="13"/>
    </row>
    <row r="11" spans="1:11" x14ac:dyDescent="0.5">
      <c r="B11" s="11" t="s">
        <v>104</v>
      </c>
      <c r="C11" s="2" t="s">
        <v>51</v>
      </c>
      <c r="D11" s="16">
        <f>Details!E188</f>
        <v>270.39599999999996</v>
      </c>
      <c r="F11" s="16">
        <f>Details!E176</f>
        <v>0.74</v>
      </c>
      <c r="G11" s="16">
        <f>Details!E179</f>
        <v>0.74</v>
      </c>
      <c r="H11" s="16">
        <f>Details!E182</f>
        <v>0.74</v>
      </c>
      <c r="I11" s="16">
        <f>Details!E185</f>
        <v>0.74</v>
      </c>
      <c r="K11" s="14"/>
    </row>
    <row r="12" spans="1:11" x14ac:dyDescent="0.5">
      <c r="B12" s="11" t="s">
        <v>105</v>
      </c>
      <c r="C12" s="2" t="s">
        <v>52</v>
      </c>
      <c r="D12" s="16">
        <f>Details!E207</f>
        <v>66.771999999999991</v>
      </c>
      <c r="F12" s="16">
        <f>ROUND(+D12/Input!$D$31,2)</f>
        <v>0.21</v>
      </c>
      <c r="G12" s="16">
        <f>ROUND(+D12/Input!$E$31,2)</f>
        <v>0.18</v>
      </c>
      <c r="H12" s="16">
        <f>ROUND(+D12/Input!$F$31,2)</f>
        <v>0.16</v>
      </c>
      <c r="I12" s="16">
        <f>ROUND(+D12/Input!$G$31,2)</f>
        <v>0.14000000000000001</v>
      </c>
      <c r="K12" s="14"/>
    </row>
    <row r="13" spans="1:11" x14ac:dyDescent="0.5">
      <c r="B13" s="11" t="s">
        <v>106</v>
      </c>
      <c r="C13" s="2" t="s">
        <v>182</v>
      </c>
      <c r="D13" s="16">
        <f>Details!E215</f>
        <v>659.61</v>
      </c>
      <c r="F13" s="16">
        <f>ROUND(+D13/Input!$D$31,2)</f>
        <v>2.0299999999999998</v>
      </c>
      <c r="G13" s="16">
        <f>ROUND(+D13/Input!$E$31,2)</f>
        <v>1.76</v>
      </c>
      <c r="H13" s="16">
        <f>ROUND(+D13/Input!$F$31,2)</f>
        <v>1.55</v>
      </c>
      <c r="I13" s="16">
        <f>ROUND(+D13/Input!$G$31,2)</f>
        <v>1.39</v>
      </c>
      <c r="K13" s="14"/>
    </row>
    <row r="14" spans="1:11" x14ac:dyDescent="0.5">
      <c r="A14" s="2" t="s">
        <v>1</v>
      </c>
      <c r="B14" s="11" t="s">
        <v>107</v>
      </c>
      <c r="C14" s="2" t="s">
        <v>53</v>
      </c>
      <c r="D14" s="16">
        <f>Details!E224</f>
        <v>159</v>
      </c>
      <c r="F14" s="16">
        <f>ROUND(+D14/Input!$D$31,2)</f>
        <v>0.49</v>
      </c>
      <c r="G14" s="16">
        <f>ROUND(+D14/Input!$E$31,2)</f>
        <v>0.42</v>
      </c>
      <c r="H14" s="16">
        <f>ROUND(+D14/Input!$F$31,2)</f>
        <v>0.37</v>
      </c>
      <c r="I14" s="16">
        <f>ROUND(+D14/Input!$G$31,2)</f>
        <v>0.33</v>
      </c>
      <c r="K14" s="13"/>
    </row>
    <row r="15" spans="1:11" x14ac:dyDescent="0.5">
      <c r="A15" s="2" t="s">
        <v>1</v>
      </c>
      <c r="B15" s="11" t="s">
        <v>108</v>
      </c>
      <c r="C15" s="2" t="s">
        <v>54</v>
      </c>
      <c r="D15" s="16">
        <f>Details!E229</f>
        <v>448</v>
      </c>
      <c r="F15" s="16">
        <f>ROUND(+D15/Input!$D$31,2)</f>
        <v>1.38</v>
      </c>
      <c r="G15" s="16">
        <f>ROUND(+D15/Input!$E$31,2)</f>
        <v>1.19</v>
      </c>
      <c r="H15" s="16">
        <f>ROUND(+D15/Input!$F$31,2)</f>
        <v>1.05</v>
      </c>
      <c r="I15" s="16">
        <f>ROUND(+D15/Input!$G$31,2)</f>
        <v>0.94</v>
      </c>
      <c r="K15" s="14"/>
    </row>
    <row r="16" spans="1:11" x14ac:dyDescent="0.5">
      <c r="A16" s="2" t="s">
        <v>1</v>
      </c>
      <c r="B16" s="11" t="s">
        <v>109</v>
      </c>
      <c r="C16" s="2" t="s">
        <v>55</v>
      </c>
      <c r="D16" s="16">
        <f>Details!E269</f>
        <v>131.05125000000001</v>
      </c>
      <c r="F16" s="16">
        <f>SUM(Details!$E$239/Details!E241)+Details!E246</f>
        <v>0.45255434782608694</v>
      </c>
      <c r="G16" s="16">
        <f>SUM(Details!$E$239/Details!E248)+Details!E253</f>
        <v>0.40081896551724139</v>
      </c>
      <c r="H16" s="16">
        <f>SUM(Details!$E$239/Details!E255)+Details!E260</f>
        <v>0.36218490304709139</v>
      </c>
      <c r="I16" s="16">
        <f>SUM(Details!$E$239/Details!E262)+Details!E267</f>
        <v>0.33095297029702975</v>
      </c>
      <c r="K16" s="14"/>
    </row>
    <row r="17" spans="1:11" x14ac:dyDescent="0.5">
      <c r="A17" s="2" t="s">
        <v>1</v>
      </c>
      <c r="B17" s="11" t="s">
        <v>110</v>
      </c>
      <c r="C17" s="2" t="s">
        <v>56</v>
      </c>
      <c r="D17" s="16">
        <f>Details!E276</f>
        <v>125.54</v>
      </c>
      <c r="F17" s="16">
        <f>ROUND(+D17/Input!$D$31,2)</f>
        <v>0.39</v>
      </c>
      <c r="G17" s="16">
        <f>ROUND(+D17/Input!$E$31,2)</f>
        <v>0.33</v>
      </c>
      <c r="H17" s="16">
        <f>ROUND(+D17/Input!$F$31,2)</f>
        <v>0.3</v>
      </c>
      <c r="I17" s="16">
        <f>ROUND(+D17/Input!$G$31,2)</f>
        <v>0.26</v>
      </c>
      <c r="K17" s="14"/>
    </row>
    <row r="18" spans="1:11" x14ac:dyDescent="0.5">
      <c r="A18" s="2" t="s">
        <v>1</v>
      </c>
      <c r="B18" s="11" t="s">
        <v>111</v>
      </c>
      <c r="C18" s="2" t="s">
        <v>163</v>
      </c>
      <c r="D18" s="17">
        <f>Details!E288</f>
        <v>118.13</v>
      </c>
      <c r="F18" s="17">
        <f>ROUND(+D18/Input!$D$31,2)</f>
        <v>0.36</v>
      </c>
      <c r="G18" s="17">
        <f>ROUND(+D18/Input!$E$31,2)</f>
        <v>0.32</v>
      </c>
      <c r="H18" s="17">
        <f>ROUND(+D18/Input!$F$31,2)</f>
        <v>0.28000000000000003</v>
      </c>
      <c r="I18" s="17">
        <f>ROUND(+D18/Input!$G$31,2)</f>
        <v>0.25</v>
      </c>
      <c r="K18" s="13"/>
    </row>
    <row r="19" spans="1:11" x14ac:dyDescent="0.5">
      <c r="B19" s="2" t="s">
        <v>143</v>
      </c>
      <c r="D19" s="16">
        <f>SUM(D5:D18)</f>
        <v>3446.8217500000001</v>
      </c>
      <c r="E19" s="4"/>
      <c r="F19" s="16">
        <f>SUM(F5:F18)</f>
        <v>10.57307427536232</v>
      </c>
      <c r="G19" s="16">
        <f>SUM(G5:G18)</f>
        <v>9.2740901253918491</v>
      </c>
      <c r="H19" s="16">
        <f>SUM(H5:H18)</f>
        <v>8.3029702216066479</v>
      </c>
      <c r="I19" s="16">
        <f>SUM(I5:I18)</f>
        <v>7.511283415841584</v>
      </c>
      <c r="K19" s="14"/>
    </row>
    <row r="20" spans="1:11" x14ac:dyDescent="0.5">
      <c r="B20" s="11" t="s">
        <v>112</v>
      </c>
      <c r="C20" s="2" t="s">
        <v>144</v>
      </c>
      <c r="D20" s="17">
        <f>Details!E297</f>
        <v>86.170543750000007</v>
      </c>
      <c r="F20" s="17">
        <f>ROUND(+D20/Input!$D$31,24)</f>
        <v>0.26514013461538499</v>
      </c>
      <c r="G20" s="17">
        <f>ROUND(+D20/Input!$E$31,24)</f>
        <v>0.22978811666666701</v>
      </c>
      <c r="H20" s="17">
        <f>ROUND(+D20/Input!$F$31,24)</f>
        <v>0.202754220588235</v>
      </c>
      <c r="I20" s="17">
        <f>ROUND(+D20/Input!$G$31,24)</f>
        <v>0.18141167105263201</v>
      </c>
      <c r="K20" s="14"/>
    </row>
    <row r="21" spans="1:11" x14ac:dyDescent="0.5">
      <c r="B21" s="4" t="s">
        <v>147</v>
      </c>
      <c r="D21" s="18">
        <f>SUM(D19:D20)</f>
        <v>3532.99229375</v>
      </c>
      <c r="E21" s="4"/>
      <c r="F21" s="18">
        <f>F19+F20</f>
        <v>10.838214409977704</v>
      </c>
      <c r="G21" s="18">
        <f>G19+G20</f>
        <v>9.5038782420585157</v>
      </c>
      <c r="H21" s="18">
        <f>H19+H20</f>
        <v>8.5057244421948823</v>
      </c>
      <c r="I21" s="18">
        <f>I19+I20</f>
        <v>7.6926950868942159</v>
      </c>
      <c r="K21" s="14"/>
    </row>
    <row r="22" spans="1:11" ht="8.1" customHeight="1" x14ac:dyDescent="0.5">
      <c r="D22" s="8" t="s">
        <v>1</v>
      </c>
      <c r="F22" s="16" t="s">
        <v>1</v>
      </c>
      <c r="G22" s="16" t="s">
        <v>1</v>
      </c>
      <c r="H22" s="16"/>
    </row>
    <row r="23" spans="1:11" x14ac:dyDescent="0.5">
      <c r="A23" s="6" t="s">
        <v>57</v>
      </c>
      <c r="B23" s="4" t="s">
        <v>145</v>
      </c>
      <c r="D23" s="8" t="s">
        <v>1</v>
      </c>
      <c r="F23" s="16" t="s">
        <v>1</v>
      </c>
      <c r="G23" s="16" t="s">
        <v>1</v>
      </c>
      <c r="H23" s="16"/>
    </row>
    <row r="24" spans="1:11" x14ac:dyDescent="0.5">
      <c r="B24" s="19" t="s">
        <v>189</v>
      </c>
      <c r="C24" s="2" t="s">
        <v>58</v>
      </c>
      <c r="D24" s="16">
        <f>Details!E330</f>
        <v>195.55555555555554</v>
      </c>
      <c r="F24" s="16">
        <f>ROUND(+D24/Input!$D$31,2)</f>
        <v>0.6</v>
      </c>
      <c r="G24" s="16">
        <f>ROUND(+D24/Input!$E$31,2)</f>
        <v>0.52</v>
      </c>
      <c r="H24" s="16">
        <f>ROUND(+D24/Input!$F$31,2)</f>
        <v>0.46</v>
      </c>
      <c r="I24" s="16">
        <f>ROUND(+D24/Input!$G$31,2)</f>
        <v>0.41</v>
      </c>
      <c r="K24" s="13"/>
    </row>
    <row r="25" spans="1:11" x14ac:dyDescent="0.5">
      <c r="B25" s="19" t="s">
        <v>126</v>
      </c>
      <c r="C25" s="2" t="s">
        <v>59</v>
      </c>
      <c r="D25" s="16">
        <f>Details!E358</f>
        <v>835.50170940170926</v>
      </c>
      <c r="F25" s="16">
        <f>ROUND(+D25/Input!$D$31,2)</f>
        <v>2.57</v>
      </c>
      <c r="G25" s="16">
        <f>ROUND(+D25/Input!$E$31,2)</f>
        <v>2.23</v>
      </c>
      <c r="H25" s="16">
        <f>ROUND(+D25/Input!$F$31,2)</f>
        <v>1.97</v>
      </c>
      <c r="I25" s="16">
        <f>ROUND(+D25/Input!$G$31,2)</f>
        <v>1.76</v>
      </c>
      <c r="K25" s="14"/>
    </row>
    <row r="26" spans="1:11" x14ac:dyDescent="0.5">
      <c r="B26" s="19" t="s">
        <v>127</v>
      </c>
      <c r="C26" s="2" t="s">
        <v>60</v>
      </c>
      <c r="D26" s="17">
        <f>Details!E389</f>
        <v>250.99</v>
      </c>
      <c r="F26" s="17">
        <f>ROUND(+D26/Input!$D$31,2)</f>
        <v>0.77</v>
      </c>
      <c r="G26" s="17">
        <f>ROUND(+D26/Input!$E$31,2)</f>
        <v>0.67</v>
      </c>
      <c r="H26" s="17">
        <f>ROUND(+D26/Input!$F$31,2)</f>
        <v>0.59</v>
      </c>
      <c r="I26" s="17">
        <f>ROUND(+D26/Input!$G$31,2)</f>
        <v>0.53</v>
      </c>
      <c r="K26" s="14"/>
    </row>
    <row r="27" spans="1:11" x14ac:dyDescent="0.5">
      <c r="B27" s="4" t="s">
        <v>146</v>
      </c>
      <c r="D27" s="18">
        <f>SUM(D24:D26)</f>
        <v>1282.0472649572648</v>
      </c>
      <c r="E27" s="4"/>
      <c r="F27" s="18">
        <f>SUM(F24:F26)</f>
        <v>3.94</v>
      </c>
      <c r="G27" s="18">
        <f>SUM(G24:G26)</f>
        <v>3.42</v>
      </c>
      <c r="H27" s="18">
        <f>SUM(H24:H26)</f>
        <v>3.02</v>
      </c>
      <c r="I27" s="18">
        <f>SUM(I24:I26)</f>
        <v>2.7</v>
      </c>
      <c r="K27" s="14"/>
    </row>
    <row r="28" spans="1:11" ht="8.1" customHeight="1" x14ac:dyDescent="0.5">
      <c r="D28" s="16" t="s">
        <v>1</v>
      </c>
      <c r="F28" s="16" t="s">
        <v>1</v>
      </c>
      <c r="G28" s="16" t="s">
        <v>1</v>
      </c>
      <c r="H28" s="16"/>
    </row>
    <row r="29" spans="1:11" x14ac:dyDescent="0.5">
      <c r="A29" s="6" t="s">
        <v>61</v>
      </c>
      <c r="B29" s="4" t="s">
        <v>148</v>
      </c>
      <c r="D29" s="16" t="s">
        <v>1</v>
      </c>
      <c r="F29" s="16" t="s">
        <v>1</v>
      </c>
      <c r="G29" s="16" t="s">
        <v>1</v>
      </c>
      <c r="H29" s="16"/>
    </row>
    <row r="30" spans="1:11" x14ac:dyDescent="0.5">
      <c r="B30" s="11" t="s">
        <v>128</v>
      </c>
      <c r="C30" s="2" t="s">
        <v>62</v>
      </c>
      <c r="D30" s="18">
        <f>Details!E394</f>
        <v>112</v>
      </c>
      <c r="F30" s="18">
        <f>ROUND(+D30/Input!$D$31,24)</f>
        <v>0.34461538461538499</v>
      </c>
      <c r="G30" s="18">
        <f>ROUND(+D30/Input!$E$31,24)</f>
        <v>0.29866666666666702</v>
      </c>
      <c r="H30" s="18">
        <f>ROUND(+D30/Input!$F$31,24)</f>
        <v>0.26352941176470601</v>
      </c>
      <c r="I30" s="18">
        <f>ROUND(+D30/Input!$G$31,24)</f>
        <v>0.23578947368421099</v>
      </c>
      <c r="K30" s="13"/>
    </row>
    <row r="31" spans="1:11" ht="8.1" customHeight="1" x14ac:dyDescent="0.5">
      <c r="D31" s="16"/>
      <c r="F31" s="16"/>
      <c r="G31" s="16"/>
      <c r="H31" s="16"/>
    </row>
    <row r="32" spans="1:11" x14ac:dyDescent="0.5">
      <c r="A32" s="4" t="s">
        <v>149</v>
      </c>
      <c r="B32" s="4"/>
      <c r="D32" s="18">
        <f>SUM(D21+D27+D30)</f>
        <v>4927.0395587072653</v>
      </c>
      <c r="F32" s="18">
        <f>F21+F27+F30</f>
        <v>15.122829794593088</v>
      </c>
      <c r="G32" s="18">
        <f>G21+G27+G30</f>
        <v>13.222544908725183</v>
      </c>
      <c r="H32" s="18">
        <f>H21+H27+H30</f>
        <v>11.789253853959588</v>
      </c>
      <c r="I32" s="18">
        <f>I21+I27+I30</f>
        <v>10.628484560578427</v>
      </c>
      <c r="K32" s="13"/>
    </row>
    <row r="33" spans="1:11" x14ac:dyDescent="0.5">
      <c r="F33" s="8"/>
      <c r="G33" s="12"/>
      <c r="H33" s="12"/>
    </row>
    <row r="34" spans="1:11" ht="21.75" customHeight="1" x14ac:dyDescent="0.5">
      <c r="A34" s="48"/>
      <c r="B34" s="261" t="s">
        <v>224</v>
      </c>
      <c r="C34" s="262"/>
      <c r="D34" s="262"/>
      <c r="E34" s="262"/>
      <c r="F34" s="262"/>
      <c r="G34" s="262"/>
      <c r="H34" s="262"/>
      <c r="I34" s="262"/>
      <c r="J34" s="262"/>
      <c r="K34" s="262"/>
    </row>
    <row r="35" spans="1:11" ht="8.1" customHeight="1" x14ac:dyDescent="0.5"/>
    <row r="36" spans="1:11" x14ac:dyDescent="0.5">
      <c r="A36" s="4" t="s">
        <v>216</v>
      </c>
    </row>
    <row r="37" spans="1:11" x14ac:dyDescent="0.5">
      <c r="B37" s="2" t="s">
        <v>242</v>
      </c>
      <c r="D37" s="8">
        <f>SUM(Input!$E$36+Input!$E$37-Input!$E$38)</f>
        <v>13.75</v>
      </c>
      <c r="F37" s="8">
        <f>SUM(Input!$E$36+Input!$E$37-Input!$E$38)</f>
        <v>13.75</v>
      </c>
      <c r="G37" s="8">
        <f>SUM(Input!$E$36+Input!$E$37-Input!$E$38)</f>
        <v>13.75</v>
      </c>
      <c r="H37" s="8">
        <f>SUM(Input!$E$36+Input!$E$37-Input!$E$38)</f>
        <v>13.75</v>
      </c>
      <c r="I37" s="8">
        <f>SUM(Input!$E$36+Input!$E$37-Input!$E$38)</f>
        <v>13.75</v>
      </c>
    </row>
    <row r="38" spans="1:11" x14ac:dyDescent="0.5">
      <c r="B38" s="2" t="s">
        <v>324</v>
      </c>
      <c r="D38" s="8"/>
      <c r="F38" s="2">
        <f>Input!D31</f>
        <v>325</v>
      </c>
      <c r="G38" s="2">
        <f>Input!E31</f>
        <v>375</v>
      </c>
      <c r="H38" s="2">
        <f>Input!F31</f>
        <v>425</v>
      </c>
      <c r="I38" s="2">
        <f>Input!G31</f>
        <v>475</v>
      </c>
    </row>
    <row r="39" spans="1:11" x14ac:dyDescent="0.5">
      <c r="B39" s="2" t="s">
        <v>307</v>
      </c>
      <c r="F39" s="2">
        <f>Input!D33</f>
        <v>276</v>
      </c>
      <c r="G39" s="2">
        <f>Input!E33</f>
        <v>319</v>
      </c>
      <c r="H39" s="2">
        <f>Input!F33</f>
        <v>361</v>
      </c>
      <c r="I39" s="2">
        <f>Input!G33</f>
        <v>404</v>
      </c>
    </row>
    <row r="40" spans="1:11" x14ac:dyDescent="0.5">
      <c r="A40" s="4"/>
      <c r="B40" s="4" t="s">
        <v>217</v>
      </c>
      <c r="F40" s="8">
        <f>SUM(F39*$D$37)</f>
        <v>3795</v>
      </c>
      <c r="G40" s="8">
        <f>SUM(G39*$D$37)</f>
        <v>4386.25</v>
      </c>
      <c r="H40" s="8">
        <f>SUM(H39*$D$37)</f>
        <v>4963.75</v>
      </c>
      <c r="I40" s="8">
        <f>SUM(I39*$D$37)</f>
        <v>5555</v>
      </c>
    </row>
    <row r="41" spans="1:11" ht="8.1" customHeight="1" x14ac:dyDescent="0.5"/>
    <row r="42" spans="1:11" x14ac:dyDescent="0.5">
      <c r="A42" s="4" t="s">
        <v>218</v>
      </c>
    </row>
    <row r="43" spans="1:11" x14ac:dyDescent="0.5">
      <c r="B43" s="2" t="s">
        <v>219</v>
      </c>
      <c r="F43" s="105">
        <f>SUM(F40-$D$21)</f>
        <v>262.00770624999996</v>
      </c>
      <c r="G43" s="105">
        <f>SUM(G40-$D$21)</f>
        <v>853.25770624999996</v>
      </c>
      <c r="H43" s="105">
        <f>SUM(H40-$D$21)</f>
        <v>1430.75770625</v>
      </c>
      <c r="I43" s="105">
        <f>SUM(I40-$D$21)</f>
        <v>2022.00770625</v>
      </c>
    </row>
    <row r="44" spans="1:11" x14ac:dyDescent="0.5">
      <c r="B44" s="2" t="s">
        <v>220</v>
      </c>
      <c r="F44" s="105">
        <f>SUM(F40-$D$32)</f>
        <v>-1132.0395587072653</v>
      </c>
      <c r="G44" s="105">
        <f>SUM(G40-$D$32)</f>
        <v>-540.78955870726531</v>
      </c>
      <c r="H44" s="105">
        <f>SUM(H40-$D$32)</f>
        <v>36.710441292734686</v>
      </c>
      <c r="I44" s="105">
        <f>SUM(I40-$D$32)</f>
        <v>627.96044129273469</v>
      </c>
    </row>
    <row r="45" spans="1:11" x14ac:dyDescent="0.5">
      <c r="A45" s="4"/>
      <c r="B45" s="4" t="s">
        <v>221</v>
      </c>
      <c r="F45" s="39">
        <f>IF(F37=0,0,SUM($D$21/F40))</f>
        <v>0.93095976119894597</v>
      </c>
      <c r="G45" s="39">
        <f>IF(G37=0,0,SUM($D$21/G40))</f>
        <v>0.80546988743231696</v>
      </c>
      <c r="H45" s="39">
        <f>IF(H37=0,0,SUM($D$21/H40))</f>
        <v>0.71175870939309993</v>
      </c>
      <c r="I45" s="39">
        <f>IF(I37=0,0,SUM($D$21/I40))</f>
        <v>0.63600221309630967</v>
      </c>
    </row>
    <row r="46" spans="1:11" ht="8.1" customHeight="1" x14ac:dyDescent="0.5"/>
    <row r="47" spans="1:11" x14ac:dyDescent="0.5">
      <c r="A47" s="4" t="s">
        <v>222</v>
      </c>
    </row>
    <row r="48" spans="1:11" x14ac:dyDescent="0.5">
      <c r="B48" s="2" t="s">
        <v>141</v>
      </c>
      <c r="F48" s="16">
        <f>SUM($D$21/F39)</f>
        <v>12.800696716485508</v>
      </c>
      <c r="G48" s="16">
        <f>SUM($D$21/G39)</f>
        <v>11.075210952194357</v>
      </c>
      <c r="H48" s="16">
        <f>SUM($D$21/H39)</f>
        <v>9.7866822541551244</v>
      </c>
      <c r="I48" s="16">
        <f>SUM($D$21/I39)</f>
        <v>8.745030430074257</v>
      </c>
    </row>
    <row r="49" spans="1:11" x14ac:dyDescent="0.5">
      <c r="B49" s="4" t="s">
        <v>223</v>
      </c>
      <c r="F49" s="16">
        <f>SUM($D$32/F39)</f>
        <v>17.851592604011831</v>
      </c>
      <c r="G49" s="16">
        <f>SUM($D$32/G39)</f>
        <v>15.445265074317446</v>
      </c>
      <c r="H49" s="16">
        <f>SUM($D$32/H39)</f>
        <v>13.648309026889931</v>
      </c>
      <c r="I49" s="16">
        <f>SUM($D$32/I39)</f>
        <v>12.195642472047686</v>
      </c>
    </row>
    <row r="50" spans="1:11" ht="8.1" customHeight="1" x14ac:dyDescent="0.5">
      <c r="B50" s="4"/>
    </row>
    <row r="51" spans="1:11" x14ac:dyDescent="0.5">
      <c r="A51" s="4" t="s">
        <v>306</v>
      </c>
    </row>
    <row r="52" spans="1:11" x14ac:dyDescent="0.5">
      <c r="B52" s="2" t="s">
        <v>141</v>
      </c>
      <c r="D52" s="106">
        <f>IF(D37=0,0,SUM($D$21/I37)/(1-(Input!$G$27+Input!$G$28)))</f>
        <v>302.28811069518719</v>
      </c>
      <c r="F52" s="106"/>
      <c r="G52" s="106"/>
      <c r="H52" s="106"/>
    </row>
    <row r="53" spans="1:11" x14ac:dyDescent="0.5">
      <c r="B53" s="4" t="s">
        <v>223</v>
      </c>
      <c r="D53" s="106">
        <f>IF(D37=0,0,SUM($D$32/D37)/(1-(Input!$G$27+Input!$G$28)))</f>
        <v>421.56488202842911</v>
      </c>
    </row>
    <row r="54" spans="1:11" ht="7.5" customHeight="1" x14ac:dyDescent="0.5">
      <c r="B54" s="4"/>
      <c r="D54" s="106"/>
    </row>
    <row r="55" spans="1:11" ht="15.75" customHeight="1" x14ac:dyDescent="0.5">
      <c r="A55" s="4" t="s">
        <v>419</v>
      </c>
      <c r="B55" s="4"/>
      <c r="D55" s="106"/>
      <c r="F55" s="165">
        <f>SUM((F40-$D$32)/$D$32)</f>
        <v>-0.22976059867566495</v>
      </c>
      <c r="G55" s="165">
        <f>SUM((G40-$D$32)/$D$32)</f>
        <v>-0.1097595325273084</v>
      </c>
      <c r="H55" s="165">
        <f>SUM((H40-$D$32)/$D$32)</f>
        <v>7.4508111524817164E-3</v>
      </c>
      <c r="I55" s="165">
        <f>SUM((I40-$D$32)/$D$32)</f>
        <v>0.12745187730083826</v>
      </c>
    </row>
    <row r="56" spans="1:11" x14ac:dyDescent="0.5">
      <c r="A56" s="4" t="s">
        <v>312</v>
      </c>
      <c r="B56" s="4"/>
      <c r="D56" s="106"/>
      <c r="F56" s="166">
        <f>SUM(((F44+$D$26+$D$20+$D$24)*Input!$G$18)+(Input!$G$219*(Input!$G$221+Input!$G$222+Input!$G$223+Input!$G$224)))/Input!$G$212</f>
        <v>-5.0537656273081178E-3</v>
      </c>
      <c r="G56" s="166">
        <f>SUM(((G44+$D$26+$D$20+$D$24)*Input!$G$18)+(Input!$G$219*(Input!$G$221+Input!$G$222+Input!$G$223+Input!$G$224)))/Input!$G$212</f>
        <v>8.8491498623801956E-3</v>
      </c>
      <c r="H56" s="166">
        <f>SUM(((H44+$D$26+$D$20+$D$24)*Input!$G$18)+(Input!$G$219*(Input!$G$221+Input!$G$222+Input!$G$223+Input!$G$224)))/Input!$G$212</f>
        <v>2.2428741736029247E-2</v>
      </c>
      <c r="I56" s="166">
        <f>SUM(((I44+$D$26+$D$20+$D$24)*Input!$G$18)+(Input!$G$219*(Input!$G$221+Input!$G$222+Input!$G$223+Input!$G$224)))/Input!$G$212</f>
        <v>3.6331657225717559E-2</v>
      </c>
    </row>
    <row r="57" spans="1:11" ht="15.75" customHeight="1" x14ac:dyDescent="0.5">
      <c r="A57" s="108" t="s">
        <v>333</v>
      </c>
    </row>
    <row r="58" spans="1:11" ht="7.5" customHeight="1" x14ac:dyDescent="0.5">
      <c r="A58" s="108"/>
    </row>
    <row r="59" spans="1:11" ht="15.75" customHeight="1" x14ac:dyDescent="0.55000000000000004">
      <c r="A59" s="4" t="s">
        <v>529</v>
      </c>
      <c r="B59" s="227"/>
      <c r="F59" s="229">
        <f>SUM(F38/$D$53)</f>
        <v>0.7709370819414767</v>
      </c>
      <c r="G59" s="229">
        <f>SUM(G38/$D$53)</f>
        <v>0.88954278685554999</v>
      </c>
      <c r="H59" s="229">
        <f>SUM(H38/$D$53)</f>
        <v>1.0081484917696233</v>
      </c>
      <c r="I59" s="229">
        <f>SUM(I38/$D$53)</f>
        <v>1.1267541966836967</v>
      </c>
      <c r="J59" s="229"/>
    </row>
    <row r="60" spans="1:11" ht="15.75" customHeight="1" x14ac:dyDescent="0.55000000000000004">
      <c r="A60" s="227"/>
      <c r="B60" s="228" t="s">
        <v>530</v>
      </c>
    </row>
    <row r="61" spans="1:11" ht="7.5" customHeight="1" x14ac:dyDescent="0.5"/>
    <row r="62" spans="1:11" x14ac:dyDescent="0.5">
      <c r="A62" s="263" t="s">
        <v>225</v>
      </c>
      <c r="B62" s="263"/>
      <c r="C62" s="263"/>
      <c r="D62" s="263"/>
      <c r="E62" s="263"/>
      <c r="F62" s="263"/>
      <c r="G62" s="263"/>
      <c r="H62" s="263"/>
      <c r="I62" s="263"/>
      <c r="J62" s="263"/>
      <c r="K62" s="263"/>
    </row>
    <row r="63" spans="1:11" x14ac:dyDescent="0.5">
      <c r="A63" s="263"/>
      <c r="B63" s="263"/>
      <c r="C63" s="263"/>
      <c r="D63" s="263"/>
      <c r="E63" s="263"/>
      <c r="F63" s="263"/>
      <c r="G63" s="263"/>
      <c r="H63" s="263"/>
      <c r="I63" s="263"/>
      <c r="J63" s="263"/>
      <c r="K63" s="263"/>
    </row>
    <row r="64" spans="1:11" x14ac:dyDescent="0.5">
      <c r="A64" s="263"/>
      <c r="B64" s="263"/>
      <c r="C64" s="263"/>
      <c r="D64" s="263"/>
      <c r="E64" s="263"/>
      <c r="F64" s="263"/>
      <c r="G64" s="263"/>
      <c r="H64" s="263"/>
      <c r="I64" s="263"/>
      <c r="J64" s="263"/>
      <c r="K64" s="263"/>
    </row>
  </sheetData>
  <sheetProtection password="C6A6" sheet="1"/>
  <mergeCells count="4">
    <mergeCell ref="B1:K1"/>
    <mergeCell ref="B34:K34"/>
    <mergeCell ref="A62:K64"/>
    <mergeCell ref="F3:I3"/>
  </mergeCells>
  <phoneticPr fontId="10" type="noConversion"/>
  <conditionalFormatting sqref="F59">
    <cfRule type="expression" dxfId="9" priority="9" stopIfTrue="1">
      <formula>$F$59&lt;100%</formula>
    </cfRule>
    <cfRule type="expression" dxfId="8" priority="10" stopIfTrue="1">
      <formula>$F$59&gt;100%</formula>
    </cfRule>
  </conditionalFormatting>
  <conditionalFormatting sqref="G59">
    <cfRule type="expression" dxfId="7" priority="5" stopIfTrue="1">
      <formula>$G$59&lt;100%</formula>
    </cfRule>
    <cfRule type="expression" dxfId="6" priority="6" stopIfTrue="1">
      <formula>$G$59&gt;100%</formula>
    </cfRule>
  </conditionalFormatting>
  <conditionalFormatting sqref="H59">
    <cfRule type="expression" dxfId="5" priority="3" stopIfTrue="1">
      <formula>$H$59&lt;100%</formula>
    </cfRule>
    <cfRule type="expression" dxfId="4" priority="4" stopIfTrue="1">
      <formula>$H$59&gt;100%</formula>
    </cfRule>
  </conditionalFormatting>
  <conditionalFormatting sqref="I59">
    <cfRule type="expression" dxfId="3" priority="1" stopIfTrue="1">
      <formula>$I$59&lt;100%</formula>
    </cfRule>
    <cfRule type="expression" dxfId="2" priority="2" stopIfTrue="1">
      <formula>$I$59&gt;100%</formula>
    </cfRule>
  </conditionalFormatting>
  <printOptions horizontalCentered="1"/>
  <pageMargins left="0.74803149606299213" right="0.74803149606299213" top="0.98425196850393704" bottom="0.98425196850393704" header="0.51181102362204722" footer="0.51181102362204722"/>
  <pageSetup scale="71" firstPageNumber="2" orientation="portrait" useFirstPageNumber="1" r:id="rId1"/>
  <headerFooter scaleWithDoc="0">
    <oddHeader>&amp;L&amp;10Guidelines: Potato Production Costs&amp;R&amp;10&amp;P</oddHeader>
  </headerFooter>
  <ignoredErrors>
    <ignoredError sqref="B5 B24:B26 B30 B7:B20" numberStoredAsText="1"/>
    <ignoredError sqref="G19 F16:I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X59"/>
  <sheetViews>
    <sheetView showGridLines="0" zoomScale="90" zoomScaleNormal="90" workbookViewId="0"/>
  </sheetViews>
  <sheetFormatPr defaultColWidth="8" defaultRowHeight="17.399999999999999" x14ac:dyDescent="0.55000000000000004"/>
  <cols>
    <col min="1" max="1" width="1.6796875" style="56" customWidth="1"/>
    <col min="2" max="2" width="24.86328125" style="56" customWidth="1"/>
    <col min="3" max="6" width="10.76953125" style="56" customWidth="1"/>
    <col min="7" max="7" width="4.2265625" style="56" customWidth="1"/>
    <col min="8" max="10" width="8.31640625" style="56" customWidth="1"/>
    <col min="11" max="11" width="4.54296875" style="56" customWidth="1"/>
    <col min="12" max="16384" width="8" style="55"/>
  </cols>
  <sheetData>
    <row r="1" spans="1:15" ht="17.7" x14ac:dyDescent="0.6">
      <c r="A1" s="53"/>
      <c r="B1" s="265" t="s">
        <v>233</v>
      </c>
      <c r="C1" s="265"/>
      <c r="D1" s="265"/>
      <c r="E1" s="265"/>
      <c r="F1" s="265"/>
      <c r="G1" s="265"/>
      <c r="H1" s="265"/>
      <c r="I1" s="265"/>
      <c r="J1" s="265"/>
      <c r="K1" s="265"/>
      <c r="L1" s="54"/>
      <c r="M1" s="54"/>
      <c r="N1" s="54"/>
      <c r="O1" s="54"/>
    </row>
    <row r="2" spans="1:15" ht="18" customHeight="1" x14ac:dyDescent="0.55000000000000004">
      <c r="A2" s="54"/>
      <c r="C2" s="57"/>
      <c r="D2" s="57"/>
      <c r="E2" s="57"/>
      <c r="F2" s="57"/>
      <c r="G2" s="57"/>
      <c r="H2" s="57"/>
      <c r="I2" s="57"/>
      <c r="J2" s="57"/>
      <c r="K2" s="57"/>
      <c r="L2" s="54"/>
      <c r="M2" s="54"/>
      <c r="N2" s="54"/>
      <c r="O2" s="54"/>
    </row>
    <row r="3" spans="1:15" ht="18" customHeight="1" x14ac:dyDescent="0.55000000000000004">
      <c r="B3" s="54"/>
      <c r="C3" s="58"/>
      <c r="D3" s="58"/>
      <c r="E3" s="54"/>
      <c r="F3" s="54"/>
      <c r="G3" s="58"/>
    </row>
    <row r="4" spans="1:15" s="59" customFormat="1" ht="15" x14ac:dyDescent="0.5">
      <c r="C4" s="57" t="s">
        <v>374</v>
      </c>
      <c r="D4" s="54"/>
      <c r="E4" s="54"/>
      <c r="F4" s="54"/>
      <c r="G4" s="60"/>
      <c r="H4" s="60"/>
      <c r="I4" s="60"/>
      <c r="J4" s="61"/>
    </row>
    <row r="5" spans="1:15" s="62" customFormat="1" ht="15" x14ac:dyDescent="0.5">
      <c r="C5" s="132" t="s">
        <v>375</v>
      </c>
      <c r="D5" s="132"/>
      <c r="E5" s="132"/>
      <c r="F5" s="132"/>
      <c r="G5" s="63"/>
      <c r="H5" s="64" t="s">
        <v>234</v>
      </c>
      <c r="I5" s="63"/>
      <c r="J5" s="63"/>
      <c r="K5" s="63"/>
    </row>
    <row r="6" spans="1:15" s="62" customFormat="1" ht="14.1" x14ac:dyDescent="0.5">
      <c r="C6" s="60"/>
      <c r="D6" s="60"/>
      <c r="E6" s="60"/>
      <c r="F6" s="60"/>
      <c r="G6" s="60"/>
      <c r="I6" s="60"/>
      <c r="J6" s="60"/>
      <c r="K6" s="60"/>
    </row>
    <row r="7" spans="1:15" x14ac:dyDescent="0.55000000000000004">
      <c r="A7" s="54" t="s">
        <v>150</v>
      </c>
      <c r="C7" s="65">
        <f>Summary!$D$21</f>
        <v>3532.99229375</v>
      </c>
      <c r="D7" s="65"/>
      <c r="E7" s="65"/>
      <c r="F7" s="65"/>
      <c r="G7" s="65"/>
      <c r="H7" s="66"/>
      <c r="I7" s="65"/>
      <c r="J7" s="65"/>
      <c r="K7" s="65"/>
    </row>
    <row r="8" spans="1:15" x14ac:dyDescent="0.55000000000000004">
      <c r="A8" s="54" t="s">
        <v>241</v>
      </c>
      <c r="C8" s="65">
        <f>Summary!$D$27</f>
        <v>1282.0472649572648</v>
      </c>
      <c r="D8" s="65"/>
      <c r="E8" s="65"/>
      <c r="F8" s="65"/>
      <c r="G8" s="65"/>
      <c r="H8" s="66"/>
      <c r="I8" s="65"/>
      <c r="J8" s="65"/>
      <c r="K8" s="65"/>
    </row>
    <row r="9" spans="1:15" x14ac:dyDescent="0.55000000000000004">
      <c r="A9" s="54" t="s">
        <v>223</v>
      </c>
      <c r="C9" s="65">
        <f>Summary!$D$32</f>
        <v>4927.0395587072653</v>
      </c>
      <c r="D9" s="65"/>
      <c r="E9" s="65"/>
      <c r="F9" s="65"/>
      <c r="G9" s="65"/>
      <c r="H9" s="66"/>
      <c r="I9" s="65"/>
      <c r="J9" s="65"/>
      <c r="K9" s="65"/>
    </row>
    <row r="10" spans="1:15" x14ac:dyDescent="0.55000000000000004">
      <c r="A10" s="54"/>
      <c r="C10" s="65"/>
      <c r="D10" s="65"/>
      <c r="E10" s="65"/>
      <c r="F10" s="65"/>
      <c r="G10" s="65"/>
      <c r="H10" s="55"/>
      <c r="I10" s="65"/>
      <c r="J10" s="65"/>
      <c r="K10" s="65"/>
    </row>
    <row r="11" spans="1:15" s="59" customFormat="1" ht="15" x14ac:dyDescent="0.5">
      <c r="C11" s="266" t="s">
        <v>332</v>
      </c>
      <c r="D11" s="266"/>
      <c r="E11" s="266"/>
      <c r="F11" s="266"/>
      <c r="G11" s="60"/>
      <c r="H11" s="60"/>
      <c r="I11" s="60"/>
      <c r="J11" s="61"/>
    </row>
    <row r="12" spans="1:15" s="62" customFormat="1" ht="15" x14ac:dyDescent="0.5">
      <c r="C12" s="132" t="str">
        <f>Summary!F4</f>
        <v>325 CWT</v>
      </c>
      <c r="D12" s="132" t="str">
        <f>Summary!G4</f>
        <v>375 CWT</v>
      </c>
      <c r="E12" s="132" t="str">
        <f>Summary!H4</f>
        <v>425 CWT</v>
      </c>
      <c r="F12" s="132" t="str">
        <f>Summary!I4</f>
        <v>475 CWT</v>
      </c>
      <c r="G12" s="63"/>
      <c r="H12" s="140"/>
      <c r="I12" s="63"/>
      <c r="J12" s="63"/>
      <c r="K12" s="63"/>
    </row>
    <row r="13" spans="1:15" x14ac:dyDescent="0.55000000000000004">
      <c r="A13" s="54" t="s">
        <v>216</v>
      </c>
      <c r="C13" s="55"/>
      <c r="D13" s="54"/>
      <c r="E13" s="54"/>
      <c r="F13" s="54"/>
      <c r="G13" s="54"/>
      <c r="H13" s="54"/>
      <c r="I13" s="55"/>
      <c r="J13" s="54"/>
      <c r="K13" s="54"/>
      <c r="L13" s="54"/>
      <c r="M13" s="54"/>
      <c r="N13" s="54"/>
      <c r="O13" s="54"/>
    </row>
    <row r="14" spans="1:15" x14ac:dyDescent="0.55000000000000004">
      <c r="B14" s="56" t="s">
        <v>242</v>
      </c>
      <c r="C14" s="67">
        <f>Summary!$D$37</f>
        <v>13.75</v>
      </c>
      <c r="D14" s="67">
        <f>Summary!$D$37</f>
        <v>13.75</v>
      </c>
      <c r="E14" s="67">
        <f>Summary!$D$37</f>
        <v>13.75</v>
      </c>
      <c r="F14" s="67">
        <f>Summary!$D$37</f>
        <v>13.75</v>
      </c>
      <c r="G14" s="67"/>
      <c r="H14" s="66"/>
      <c r="I14" s="67"/>
      <c r="J14" s="67"/>
      <c r="K14" s="67"/>
    </row>
    <row r="15" spans="1:15" x14ac:dyDescent="0.55000000000000004">
      <c r="B15" s="2" t="s">
        <v>359</v>
      </c>
      <c r="C15" s="68">
        <f>Input!D33</f>
        <v>276</v>
      </c>
      <c r="D15" s="68">
        <f>Input!E33</f>
        <v>319</v>
      </c>
      <c r="E15" s="68">
        <f>Input!F33</f>
        <v>361</v>
      </c>
      <c r="F15" s="68">
        <f>Input!G33</f>
        <v>404</v>
      </c>
      <c r="G15" s="68"/>
      <c r="H15" s="66"/>
      <c r="I15" s="68"/>
      <c r="J15" s="68"/>
      <c r="K15" s="68"/>
    </row>
    <row r="16" spans="1:15" ht="9" customHeight="1" x14ac:dyDescent="0.55000000000000004">
      <c r="C16" s="69"/>
      <c r="D16" s="69"/>
      <c r="E16" s="69"/>
      <c r="F16" s="69"/>
      <c r="G16" s="69"/>
      <c r="H16" s="69"/>
      <c r="I16" s="69"/>
      <c r="J16" s="69"/>
      <c r="K16" s="69"/>
    </row>
    <row r="17" spans="1:15" ht="9" customHeight="1" x14ac:dyDescent="0.55000000000000004">
      <c r="B17" s="70"/>
      <c r="C17" s="71"/>
      <c r="D17" s="71"/>
      <c r="E17" s="71"/>
      <c r="F17" s="71"/>
      <c r="G17" s="71"/>
      <c r="H17" s="71"/>
      <c r="I17" s="71"/>
      <c r="J17" s="71"/>
      <c r="K17" s="71"/>
    </row>
    <row r="18" spans="1:15" x14ac:dyDescent="0.55000000000000004">
      <c r="A18" s="55"/>
      <c r="B18" s="70"/>
      <c r="C18" s="72" t="s">
        <v>235</v>
      </c>
      <c r="D18" s="72" t="s">
        <v>236</v>
      </c>
      <c r="E18" s="70"/>
      <c r="F18" s="70"/>
      <c r="G18" s="73"/>
      <c r="H18" s="70"/>
      <c r="I18" s="72" t="s">
        <v>235</v>
      </c>
      <c r="J18" s="72" t="s">
        <v>236</v>
      </c>
      <c r="K18" s="70"/>
    </row>
    <row r="19" spans="1:15" ht="17.7" x14ac:dyDescent="0.6">
      <c r="B19" s="74" t="s">
        <v>237</v>
      </c>
      <c r="C19" s="75">
        <v>0.05</v>
      </c>
      <c r="D19" s="75">
        <v>0.1</v>
      </c>
      <c r="E19" s="73"/>
      <c r="F19" s="76"/>
      <c r="G19" s="73"/>
      <c r="H19" s="74" t="s">
        <v>238</v>
      </c>
      <c r="I19" s="75">
        <v>0.1</v>
      </c>
      <c r="J19" s="75">
        <v>0.05</v>
      </c>
      <c r="K19" s="70"/>
    </row>
    <row r="20" spans="1:15" ht="9" customHeight="1" x14ac:dyDescent="0.6">
      <c r="B20" s="74"/>
      <c r="C20" s="77"/>
      <c r="D20" s="77"/>
      <c r="E20" s="73"/>
      <c r="F20" s="76"/>
      <c r="G20" s="73"/>
      <c r="H20" s="74"/>
      <c r="I20" s="77"/>
      <c r="J20" s="77"/>
      <c r="K20" s="70"/>
    </row>
    <row r="21" spans="1:15" ht="9" customHeight="1" x14ac:dyDescent="0.55000000000000004">
      <c r="C21" s="69"/>
      <c r="D21" s="69"/>
      <c r="E21" s="69"/>
      <c r="F21" s="69"/>
      <c r="G21" s="69"/>
      <c r="H21" s="69"/>
      <c r="I21" s="69"/>
      <c r="J21" s="69"/>
      <c r="K21" s="69"/>
    </row>
    <row r="22" spans="1:15" s="80" customFormat="1" ht="18" customHeight="1" x14ac:dyDescent="0.6">
      <c r="A22" s="54"/>
      <c r="B22" s="78" t="s">
        <v>245</v>
      </c>
      <c r="C22" s="65">
        <f>SUM(C14*(1+$C$19))</f>
        <v>14.4375</v>
      </c>
      <c r="D22" s="65">
        <f>SUM(D14*(1+$C$19))</f>
        <v>14.4375</v>
      </c>
      <c r="E22" s="65">
        <f>SUM(E14*(1+$C$19))</f>
        <v>14.4375</v>
      </c>
      <c r="F22" s="65">
        <f>SUM(F14*(1+$C$19))</f>
        <v>14.4375</v>
      </c>
      <c r="G22" s="65"/>
      <c r="H22" s="65"/>
      <c r="I22" s="65"/>
      <c r="J22" s="65"/>
      <c r="K22" s="65"/>
    </row>
    <row r="23" spans="1:15" s="80" customFormat="1" ht="18" customHeight="1" x14ac:dyDescent="0.6">
      <c r="A23" s="54"/>
      <c r="B23" s="78" t="s">
        <v>246</v>
      </c>
      <c r="C23" s="65">
        <f>SUM(C14*(1-$D$19))</f>
        <v>12.375</v>
      </c>
      <c r="D23" s="65">
        <f>SUM(D14*(1-$D$19))</f>
        <v>12.375</v>
      </c>
      <c r="E23" s="65">
        <f>SUM(E14*(1-$D$19))</f>
        <v>12.375</v>
      </c>
      <c r="F23" s="65">
        <f>SUM(F14*(1-$D$19))</f>
        <v>12.375</v>
      </c>
      <c r="G23" s="65"/>
      <c r="H23" s="79"/>
      <c r="I23" s="65"/>
      <c r="J23" s="65"/>
      <c r="K23" s="65"/>
    </row>
    <row r="24" spans="1:15" s="80" customFormat="1" ht="18" customHeight="1" x14ac:dyDescent="0.6">
      <c r="A24" s="54"/>
      <c r="B24" s="78" t="s">
        <v>243</v>
      </c>
      <c r="C24" s="81">
        <f>SUM(C15*(1+$I$19))</f>
        <v>303.60000000000002</v>
      </c>
      <c r="D24" s="81">
        <f>SUM(D15*(1+$I$19))</f>
        <v>350.90000000000003</v>
      </c>
      <c r="E24" s="81">
        <f>SUM(E15*(1+$I$19))</f>
        <v>397.1</v>
      </c>
      <c r="F24" s="81">
        <f>SUM(F15*(1+$I$19))</f>
        <v>444.40000000000003</v>
      </c>
      <c r="G24" s="81"/>
      <c r="H24" s="79"/>
      <c r="I24" s="81"/>
      <c r="J24" s="81"/>
      <c r="K24" s="81"/>
    </row>
    <row r="25" spans="1:15" s="80" customFormat="1" ht="18" customHeight="1" x14ac:dyDescent="0.6">
      <c r="A25" s="54"/>
      <c r="B25" s="78" t="s">
        <v>244</v>
      </c>
      <c r="C25" s="81">
        <f>SUM(C15*(1-$J$19))</f>
        <v>262.2</v>
      </c>
      <c r="D25" s="81">
        <f>SUM(D15*(1-$J$19))</f>
        <v>303.05</v>
      </c>
      <c r="E25" s="81">
        <f>SUM(E15*(1-$J$19))</f>
        <v>342.95</v>
      </c>
      <c r="F25" s="81">
        <f>SUM(F15*(1-$J$19))</f>
        <v>383.79999999999995</v>
      </c>
      <c r="G25" s="81"/>
      <c r="H25" s="79"/>
      <c r="I25" s="81"/>
      <c r="J25" s="81"/>
      <c r="K25" s="81"/>
    </row>
    <row r="26" spans="1:15" s="80" customFormat="1" ht="18" customHeight="1" x14ac:dyDescent="0.6">
      <c r="A26" s="54"/>
      <c r="B26" s="78"/>
      <c r="C26" s="81"/>
      <c r="D26" s="81"/>
      <c r="E26" s="81"/>
      <c r="F26" s="81"/>
      <c r="G26" s="81"/>
      <c r="I26" s="81"/>
      <c r="J26" s="81"/>
      <c r="K26" s="81"/>
    </row>
    <row r="27" spans="1:15" ht="18" customHeight="1" x14ac:dyDescent="0.55000000000000004">
      <c r="H27" s="55"/>
    </row>
    <row r="28" spans="1:15" s="80" customFormat="1" ht="17.7" x14ac:dyDescent="0.6">
      <c r="A28" s="82" t="str">
        <f>"Higher Margin Scenario - Price Up "&amp;C19*100&amp;"% and Yield Up "&amp;I19*100&amp;"%"</f>
        <v>Higher Margin Scenario - Price Up 5% and Yield Up 10%</v>
      </c>
      <c r="B28" s="54"/>
      <c r="C28" s="67"/>
      <c r="D28" s="54"/>
      <c r="E28" s="54"/>
      <c r="F28" s="54"/>
      <c r="G28" s="54"/>
      <c r="H28" s="54"/>
      <c r="I28" s="54"/>
      <c r="J28" s="54"/>
      <c r="K28" s="54"/>
      <c r="L28" s="54"/>
      <c r="M28" s="54"/>
      <c r="N28" s="54"/>
      <c r="O28" s="54"/>
    </row>
    <row r="29" spans="1:15" x14ac:dyDescent="0.55000000000000004">
      <c r="B29" s="54" t="s">
        <v>217</v>
      </c>
      <c r="C29" s="65">
        <f>SUM(C22*C24)</f>
        <v>4383.2250000000004</v>
      </c>
      <c r="D29" s="65">
        <f>SUM(D22*D24)</f>
        <v>5066.1187500000005</v>
      </c>
      <c r="E29" s="65">
        <f>SUM(E22*E24)</f>
        <v>5733.1312500000004</v>
      </c>
      <c r="F29" s="65">
        <f>SUM(F22*F24)</f>
        <v>6416.0250000000005</v>
      </c>
      <c r="G29" s="65"/>
      <c r="H29" s="66"/>
      <c r="I29" s="65"/>
      <c r="J29" s="65"/>
      <c r="K29" s="65"/>
    </row>
    <row r="30" spans="1:15" x14ac:dyDescent="0.55000000000000004">
      <c r="A30" s="55"/>
      <c r="B30" s="54" t="s">
        <v>218</v>
      </c>
      <c r="H30" s="55"/>
    </row>
    <row r="31" spans="1:15" x14ac:dyDescent="0.55000000000000004">
      <c r="B31" s="83" t="s">
        <v>239</v>
      </c>
      <c r="C31" s="84">
        <f>SUM(C29-$C$7)</f>
        <v>850.23270625000032</v>
      </c>
      <c r="D31" s="84">
        <f>SUM(D29-$C$7)</f>
        <v>1533.1264562500005</v>
      </c>
      <c r="E31" s="84">
        <f>SUM(E29-$C$7)</f>
        <v>2200.1389562500003</v>
      </c>
      <c r="F31" s="84">
        <f>SUM(F29-$C$7)</f>
        <v>2883.0327062500005</v>
      </c>
      <c r="G31" s="84"/>
      <c r="H31" s="66"/>
      <c r="I31" s="84"/>
      <c r="J31" s="84"/>
      <c r="K31" s="84"/>
    </row>
    <row r="32" spans="1:15" x14ac:dyDescent="0.55000000000000004">
      <c r="B32" s="83" t="s">
        <v>240</v>
      </c>
      <c r="C32" s="84">
        <f>SUM(C29-$C$9)</f>
        <v>-543.81455870726495</v>
      </c>
      <c r="D32" s="84">
        <f>SUM(D29-$C$9)</f>
        <v>139.07919129273523</v>
      </c>
      <c r="E32" s="84">
        <f>SUM(E29-$C$9)</f>
        <v>806.09169129273505</v>
      </c>
      <c r="F32" s="84">
        <f>SUM(F29-$C$9)</f>
        <v>1488.9854412927352</v>
      </c>
      <c r="G32" s="84"/>
      <c r="H32" s="66"/>
      <c r="I32" s="84"/>
      <c r="J32" s="84"/>
      <c r="K32" s="84"/>
    </row>
    <row r="33" spans="1:15" x14ac:dyDescent="0.55000000000000004">
      <c r="B33" s="54" t="s">
        <v>221</v>
      </c>
      <c r="C33" s="85">
        <f>IF(C29=0,"",SUM($C$7/C29))</f>
        <v>0.80602576727181463</v>
      </c>
      <c r="D33" s="85">
        <f>IF(D29=0,"",SUM($C$7/D29))</f>
        <v>0.69737652591542587</v>
      </c>
      <c r="E33" s="85">
        <f>IF(E29=0,"",SUM($C$7/E29))</f>
        <v>0.61624130683385281</v>
      </c>
      <c r="F33" s="85">
        <f>IF(F29=0,"",SUM($C$7/F29))</f>
        <v>0.5506512667500516</v>
      </c>
      <c r="G33" s="85"/>
      <c r="H33" s="66"/>
      <c r="I33" s="85"/>
      <c r="J33" s="85"/>
      <c r="K33" s="85"/>
    </row>
    <row r="34" spans="1:15" ht="18" customHeight="1" x14ac:dyDescent="0.55000000000000004">
      <c r="H34" s="55"/>
    </row>
    <row r="35" spans="1:15" s="80" customFormat="1" ht="17.7" x14ac:dyDescent="0.6">
      <c r="A35" s="82" t="str">
        <f>"Lower Margin Scenario - Price Down "&amp;D19*100&amp;"% and Yield Down "&amp;J19*100&amp;"%"</f>
        <v>Lower Margin Scenario - Price Down 10% and Yield Down 5%</v>
      </c>
      <c r="B35" s="54"/>
      <c r="C35" s="67"/>
      <c r="D35" s="67"/>
      <c r="E35" s="67"/>
      <c r="F35" s="67"/>
      <c r="G35" s="67"/>
      <c r="H35" s="54"/>
      <c r="I35" s="67"/>
      <c r="J35" s="67"/>
      <c r="K35" s="67"/>
      <c r="L35" s="54"/>
      <c r="M35" s="54"/>
      <c r="N35" s="54"/>
      <c r="O35" s="54"/>
    </row>
    <row r="36" spans="1:15" x14ac:dyDescent="0.55000000000000004">
      <c r="B36" s="54" t="s">
        <v>217</v>
      </c>
      <c r="C36" s="65">
        <f>C23*C25</f>
        <v>3244.7249999999999</v>
      </c>
      <c r="D36" s="65">
        <f>D23*D25</f>
        <v>3750.2437500000001</v>
      </c>
      <c r="E36" s="65">
        <f>E23*E25</f>
        <v>4244.0062499999995</v>
      </c>
      <c r="F36" s="65">
        <f>F23*F25</f>
        <v>4749.5249999999996</v>
      </c>
      <c r="G36" s="65"/>
      <c r="H36" s="66"/>
      <c r="I36" s="65"/>
      <c r="J36" s="65"/>
      <c r="K36" s="65"/>
    </row>
    <row r="37" spans="1:15" x14ac:dyDescent="0.55000000000000004">
      <c r="A37" s="55"/>
      <c r="B37" s="54" t="s">
        <v>218</v>
      </c>
      <c r="H37" s="55"/>
    </row>
    <row r="38" spans="1:15" x14ac:dyDescent="0.55000000000000004">
      <c r="B38" s="83" t="s">
        <v>239</v>
      </c>
      <c r="C38" s="84">
        <f>SUM(C36-$C$7)</f>
        <v>-288.26729375000014</v>
      </c>
      <c r="D38" s="84">
        <f>SUM(D36-$C$7)</f>
        <v>217.25145625000005</v>
      </c>
      <c r="E38" s="84">
        <f>SUM(E36-$C$7)</f>
        <v>711.01395624999941</v>
      </c>
      <c r="F38" s="84">
        <f>SUM(F36-$C$7)</f>
        <v>1216.5327062499996</v>
      </c>
      <c r="G38" s="84"/>
      <c r="H38" s="66"/>
      <c r="I38" s="84"/>
      <c r="J38" s="84"/>
      <c r="K38" s="84"/>
    </row>
    <row r="39" spans="1:15" x14ac:dyDescent="0.55000000000000004">
      <c r="B39" s="83" t="s">
        <v>240</v>
      </c>
      <c r="C39" s="84">
        <f>SUM(C36-$C$9)</f>
        <v>-1682.3145587072654</v>
      </c>
      <c r="D39" s="84">
        <f>SUM(D36-$C$9)</f>
        <v>-1176.7958087072652</v>
      </c>
      <c r="E39" s="84">
        <f>SUM(E36-$C$9)</f>
        <v>-683.03330870726586</v>
      </c>
      <c r="F39" s="84">
        <f>SUM(F36-$C$9)</f>
        <v>-177.51455870726568</v>
      </c>
      <c r="G39" s="84"/>
      <c r="H39" s="86"/>
      <c r="I39" s="84"/>
      <c r="J39" s="84"/>
      <c r="K39" s="84"/>
    </row>
    <row r="40" spans="1:15" x14ac:dyDescent="0.55000000000000004">
      <c r="B40" s="54" t="s">
        <v>221</v>
      </c>
      <c r="C40" s="85">
        <f>IF(C36=0,"",SUM($C$7/C36))</f>
        <v>1.0888418259636796</v>
      </c>
      <c r="D40" s="85">
        <f>IF(D36=0,"",SUM($C$7/D36))</f>
        <v>0.94207004378048764</v>
      </c>
      <c r="E40" s="85">
        <f>IF(E36=0,"",SUM($C$7/E36))</f>
        <v>0.83246632677555565</v>
      </c>
      <c r="F40" s="85">
        <f>IF(F36=0,"",SUM($C$7/F36))</f>
        <v>0.7438622375395435</v>
      </c>
      <c r="G40" s="85"/>
      <c r="H40" s="66"/>
      <c r="I40" s="85"/>
      <c r="J40" s="85"/>
      <c r="K40" s="85"/>
    </row>
    <row r="43" spans="1:15" ht="8.1" customHeight="1" x14ac:dyDescent="0.55000000000000004"/>
    <row r="44" spans="1:15" s="80" customFormat="1" ht="18" customHeight="1" x14ac:dyDescent="0.6">
      <c r="A44" s="54"/>
      <c r="B44" s="263" t="s">
        <v>225</v>
      </c>
      <c r="C44" s="263"/>
      <c r="D44" s="263"/>
      <c r="E44" s="263"/>
      <c r="F44" s="263"/>
      <c r="G44" s="263"/>
      <c r="H44" s="263"/>
      <c r="I44" s="263"/>
      <c r="J44" s="263"/>
      <c r="K44" s="263"/>
    </row>
    <row r="45" spans="1:15" s="80" customFormat="1" ht="17.7" x14ac:dyDescent="0.6">
      <c r="A45" s="54"/>
      <c r="B45" s="263"/>
      <c r="C45" s="263"/>
      <c r="D45" s="263"/>
      <c r="E45" s="263"/>
      <c r="F45" s="263"/>
      <c r="G45" s="263"/>
      <c r="H45" s="263"/>
      <c r="I45" s="263"/>
      <c r="J45" s="263"/>
      <c r="K45" s="263"/>
    </row>
    <row r="46" spans="1:15" s="80" customFormat="1" ht="17.7" x14ac:dyDescent="0.6">
      <c r="A46" s="54"/>
      <c r="B46" s="54"/>
      <c r="C46" s="54"/>
      <c r="D46" s="54"/>
      <c r="E46" s="54"/>
      <c r="F46" s="54"/>
      <c r="G46" s="54"/>
      <c r="H46" s="54"/>
      <c r="I46" s="54"/>
      <c r="J46" s="54"/>
      <c r="K46" s="54"/>
    </row>
    <row r="47" spans="1:15" ht="8.1" customHeight="1" x14ac:dyDescent="0.55000000000000004"/>
    <row r="52" spans="12:24" ht="8.1" customHeight="1" x14ac:dyDescent="0.55000000000000004"/>
    <row r="57" spans="12:24" ht="8.1" customHeight="1" x14ac:dyDescent="0.55000000000000004"/>
    <row r="59" spans="12:24" s="56" customFormat="1" ht="18" customHeight="1" x14ac:dyDescent="0.55000000000000004">
      <c r="L59" s="55"/>
      <c r="M59" s="55"/>
      <c r="N59" s="55"/>
      <c r="O59" s="55"/>
      <c r="P59" s="55"/>
      <c r="Q59" s="55"/>
      <c r="R59" s="55"/>
      <c r="S59" s="55"/>
      <c r="T59" s="55"/>
      <c r="U59" s="55"/>
      <c r="V59" s="55"/>
      <c r="W59" s="55"/>
      <c r="X59" s="55"/>
    </row>
  </sheetData>
  <sheetProtection password="C6A6" sheet="1"/>
  <mergeCells count="3">
    <mergeCell ref="B1:K1"/>
    <mergeCell ref="B44:K45"/>
    <mergeCell ref="C11:F11"/>
  </mergeCells>
  <printOptions horizontalCentered="1"/>
  <pageMargins left="0.55118110236220474" right="0.55118110236220474" top="0.98425196850393704" bottom="0.98425196850393704" header="0.51181102362204722" footer="0.51181102362204722"/>
  <pageSetup scale="76" firstPageNumber="3" pageOrder="overThenDown" orientation="portrait" useFirstPageNumber="1" r:id="rId1"/>
  <headerFooter scaleWithDoc="0">
    <oddHeader>&amp;L&amp;10Guidelines: Potato Production Costs&amp;R&amp;10&amp;P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O227"/>
  <sheetViews>
    <sheetView zoomScaleNormal="100" workbookViewId="0">
      <selection sqref="A1:I1"/>
    </sheetView>
  </sheetViews>
  <sheetFormatPr defaultColWidth="9.6796875" defaultRowHeight="14.7" x14ac:dyDescent="0.45"/>
  <cols>
    <col min="1" max="1" width="3.453125" style="1" customWidth="1"/>
    <col min="2" max="6" width="10.6796875" style="1" customWidth="1"/>
    <col min="7" max="7" width="13.6796875" style="1" customWidth="1"/>
    <col min="8" max="8" width="4.6796875" style="1" customWidth="1"/>
    <col min="9" max="9" width="5.6796875" style="1" customWidth="1"/>
    <col min="10" max="12" width="9.6796875" style="1"/>
    <col min="13" max="13" width="11" style="1" bestFit="1" customWidth="1"/>
    <col min="14" max="16384" width="9.6796875" style="1"/>
  </cols>
  <sheetData>
    <row r="1" spans="1:12" ht="18" customHeight="1" x14ac:dyDescent="0.45">
      <c r="A1" s="261" t="s">
        <v>154</v>
      </c>
      <c r="B1" s="261"/>
      <c r="C1" s="261"/>
      <c r="D1" s="261"/>
      <c r="E1" s="261"/>
      <c r="F1" s="261"/>
      <c r="G1" s="261"/>
      <c r="H1" s="261"/>
      <c r="I1" s="261"/>
    </row>
    <row r="2" spans="1:12" ht="7.5" customHeight="1" x14ac:dyDescent="0.5">
      <c r="A2" s="2"/>
      <c r="B2" s="2"/>
      <c r="C2" s="2"/>
      <c r="D2" s="2"/>
      <c r="E2" s="2"/>
      <c r="F2" s="2"/>
      <c r="G2" s="2"/>
      <c r="H2" s="2"/>
      <c r="I2" s="2"/>
      <c r="J2" s="2"/>
      <c r="K2" s="2"/>
      <c r="L2" s="2"/>
    </row>
    <row r="3" spans="1:12" ht="15" x14ac:dyDescent="0.5">
      <c r="A3" s="4" t="s">
        <v>0</v>
      </c>
      <c r="C3" s="2"/>
      <c r="D3" s="2"/>
      <c r="E3" s="2"/>
      <c r="F3" s="2"/>
      <c r="G3" s="2"/>
      <c r="H3" s="2"/>
      <c r="I3" s="2"/>
      <c r="J3" s="2"/>
      <c r="K3" s="2"/>
      <c r="L3" s="2"/>
    </row>
    <row r="4" spans="1:12" s="2" customFormat="1" ht="15" x14ac:dyDescent="0.5">
      <c r="A4" s="49" t="str">
        <f>"1."</f>
        <v>1.</v>
      </c>
      <c r="B4" s="276" t="s">
        <v>310</v>
      </c>
      <c r="C4" s="277"/>
      <c r="D4" s="277"/>
      <c r="E4" s="277"/>
      <c r="F4" s="277"/>
      <c r="G4" s="277"/>
      <c r="H4" s="277"/>
      <c r="I4" s="277"/>
    </row>
    <row r="5" spans="1:12" s="2" customFormat="1" ht="15" x14ac:dyDescent="0.5">
      <c r="A5" s="49" t="str">
        <f>"2."</f>
        <v>2.</v>
      </c>
      <c r="B5" s="278" t="str">
        <f>"A potato land base of "&amp;Input!G18&amp;" harvested acres was assumed in developing this budget. The crop rotation was based on growing potatoes no more than 1 in "&amp;G19&amp;" years."</f>
        <v>A potato land base of 780 harvested acres was assumed in developing this budget. The crop rotation was based on growing potatoes no more than 1 in 3 years.</v>
      </c>
      <c r="C5" s="278"/>
      <c r="D5" s="278"/>
      <c r="E5" s="278"/>
      <c r="F5" s="278"/>
      <c r="G5" s="278"/>
      <c r="H5" s="278"/>
      <c r="I5" s="278"/>
      <c r="J5" s="24"/>
    </row>
    <row r="6" spans="1:12" s="2" customFormat="1" ht="15" x14ac:dyDescent="0.5">
      <c r="B6" s="268"/>
      <c r="C6" s="268"/>
      <c r="D6" s="268"/>
      <c r="E6" s="268"/>
      <c r="F6" s="268"/>
      <c r="G6" s="268"/>
      <c r="H6" s="268"/>
      <c r="I6" s="268"/>
      <c r="J6" s="24"/>
    </row>
    <row r="7" spans="1:12" s="2" customFormat="1" ht="18" customHeight="1" x14ac:dyDescent="0.5">
      <c r="A7" s="49" t="str">
        <f>"3."</f>
        <v>3.</v>
      </c>
      <c r="B7" s="278" t="str">
        <f>"Total gross yield per acre was estimated at "&amp;Input!D31&amp;" to "&amp;G31&amp;" cwt/acre with marketable yield estimated at "&amp;ROUND(Input!D33,0)&amp;" to "&amp;G33&amp;" cwt/acre."</f>
        <v>Total gross yield per acre was estimated at 325 to 475 cwt/acre with marketable yield estimated at 276 to 404 cwt/acre.</v>
      </c>
      <c r="C7" s="278"/>
      <c r="D7" s="278"/>
      <c r="E7" s="278"/>
      <c r="F7" s="278"/>
      <c r="G7" s="278"/>
      <c r="H7" s="278"/>
      <c r="I7" s="278"/>
      <c r="J7" s="25"/>
    </row>
    <row r="8" spans="1:12" s="2" customFormat="1" ht="18" customHeight="1" x14ac:dyDescent="0.5">
      <c r="B8" s="278"/>
      <c r="C8" s="278"/>
      <c r="D8" s="278"/>
      <c r="E8" s="278"/>
      <c r="F8" s="278"/>
      <c r="G8" s="278"/>
      <c r="H8" s="278"/>
      <c r="I8" s="278"/>
      <c r="J8" s="25"/>
    </row>
    <row r="9" spans="1:12" s="2" customFormat="1" ht="15" x14ac:dyDescent="0.5">
      <c r="A9" s="49" t="str">
        <f>"4."</f>
        <v>4.</v>
      </c>
      <c r="B9" s="269" t="s">
        <v>573</v>
      </c>
      <c r="C9" s="268"/>
      <c r="D9" s="268"/>
      <c r="E9" s="268"/>
      <c r="F9" s="268"/>
      <c r="G9" s="268"/>
      <c r="H9" s="268"/>
      <c r="I9" s="268"/>
    </row>
    <row r="10" spans="1:12" s="2" customFormat="1" ht="15" x14ac:dyDescent="0.5">
      <c r="A10" s="49" t="str">
        <f>"5."</f>
        <v>5.</v>
      </c>
      <c r="B10" s="269" t="s">
        <v>356</v>
      </c>
      <c r="C10" s="268"/>
      <c r="D10" s="268"/>
      <c r="E10" s="268"/>
      <c r="F10" s="268"/>
      <c r="G10" s="268"/>
      <c r="H10" s="268"/>
      <c r="I10" s="268"/>
    </row>
    <row r="11" spans="1:12" s="2" customFormat="1" ht="15" x14ac:dyDescent="0.5">
      <c r="A11" s="49" t="str">
        <f>"6."</f>
        <v>6.</v>
      </c>
      <c r="B11" s="267" t="s">
        <v>226</v>
      </c>
      <c r="C11" s="268"/>
      <c r="D11" s="268"/>
      <c r="E11" s="268"/>
      <c r="F11" s="268"/>
      <c r="G11" s="268"/>
      <c r="H11" s="268"/>
      <c r="I11" s="268"/>
    </row>
    <row r="12" spans="1:12" s="2" customFormat="1" ht="15" x14ac:dyDescent="0.5">
      <c r="B12" s="268"/>
      <c r="C12" s="268"/>
      <c r="D12" s="268"/>
      <c r="E12" s="268"/>
      <c r="F12" s="268"/>
      <c r="G12" s="268"/>
      <c r="H12" s="268"/>
      <c r="I12" s="268"/>
    </row>
    <row r="13" spans="1:12" s="2" customFormat="1" ht="15" x14ac:dyDescent="0.5">
      <c r="B13" s="268"/>
      <c r="C13" s="268"/>
      <c r="D13" s="268"/>
      <c r="E13" s="268"/>
      <c r="F13" s="268"/>
      <c r="G13" s="268"/>
      <c r="H13" s="268"/>
      <c r="I13" s="268"/>
    </row>
    <row r="14" spans="1:12" ht="7.5" customHeight="1" x14ac:dyDescent="0.5">
      <c r="A14" s="2"/>
      <c r="B14" s="4"/>
      <c r="C14" s="2"/>
      <c r="D14" s="2"/>
      <c r="E14" s="2"/>
      <c r="F14" s="2"/>
      <c r="G14" s="2"/>
      <c r="H14" s="2"/>
      <c r="I14" s="2"/>
      <c r="J14" s="2"/>
      <c r="K14" s="2"/>
      <c r="L14" s="2"/>
    </row>
    <row r="15" spans="1:12" ht="15" x14ac:dyDescent="0.5">
      <c r="A15" s="2"/>
      <c r="B15" s="4" t="s">
        <v>3</v>
      </c>
      <c r="C15" s="2"/>
      <c r="D15" s="2"/>
      <c r="E15" s="2"/>
      <c r="F15" s="2"/>
      <c r="G15" s="2"/>
      <c r="H15" s="2"/>
      <c r="I15" s="2"/>
      <c r="J15" s="2"/>
      <c r="K15" s="2"/>
      <c r="L15" s="2"/>
    </row>
    <row r="16" spans="1:12" ht="15" x14ac:dyDescent="0.5">
      <c r="A16" s="2"/>
      <c r="B16" s="4"/>
      <c r="C16" s="2" t="s">
        <v>256</v>
      </c>
      <c r="D16" s="2"/>
      <c r="E16" s="2"/>
      <c r="F16" s="2"/>
      <c r="G16" s="120">
        <v>6</v>
      </c>
      <c r="H16" s="2"/>
      <c r="I16" s="2"/>
      <c r="J16" s="2"/>
      <c r="K16" s="2"/>
      <c r="L16" s="2"/>
    </row>
    <row r="17" spans="1:12" ht="15" x14ac:dyDescent="0.5">
      <c r="A17" s="2"/>
      <c r="B17" s="4"/>
      <c r="C17" s="2" t="s">
        <v>247</v>
      </c>
      <c r="D17" s="2"/>
      <c r="E17" s="2"/>
      <c r="F17" s="2"/>
      <c r="G17" s="120">
        <v>130</v>
      </c>
      <c r="H17" s="2"/>
      <c r="I17" s="2"/>
      <c r="J17" s="2"/>
      <c r="K17" s="2"/>
      <c r="L17" s="2"/>
    </row>
    <row r="18" spans="1:12" ht="15" x14ac:dyDescent="0.5">
      <c r="A18" s="2"/>
      <c r="B18" s="2"/>
      <c r="C18" s="2" t="s">
        <v>248</v>
      </c>
      <c r="D18" s="2"/>
      <c r="E18" s="2"/>
      <c r="F18" s="2"/>
      <c r="G18" s="111">
        <f>SUM(G16*G17)</f>
        <v>780</v>
      </c>
      <c r="H18" s="2"/>
      <c r="I18" s="2"/>
      <c r="J18" s="2"/>
      <c r="K18" s="2"/>
      <c r="L18" s="2"/>
    </row>
    <row r="19" spans="1:12" ht="15" x14ac:dyDescent="0.5">
      <c r="A19" s="2"/>
      <c r="B19" s="2"/>
      <c r="C19" s="2" t="s">
        <v>249</v>
      </c>
      <c r="D19" s="2"/>
      <c r="E19" s="2"/>
      <c r="F19" s="2"/>
      <c r="G19" s="120">
        <v>3</v>
      </c>
      <c r="H19" s="2"/>
      <c r="I19" s="2"/>
      <c r="J19" s="2"/>
      <c r="K19" s="2"/>
      <c r="L19" s="2"/>
    </row>
    <row r="20" spans="1:12" ht="15" x14ac:dyDescent="0.5">
      <c r="A20" s="2"/>
      <c r="B20" s="2"/>
      <c r="C20" s="2" t="s">
        <v>198</v>
      </c>
      <c r="D20" s="2"/>
      <c r="E20" s="2"/>
      <c r="F20" s="2"/>
      <c r="G20" s="111">
        <f>SUM(G16*160*G19)</f>
        <v>2880</v>
      </c>
      <c r="H20" s="2"/>
      <c r="I20" s="2"/>
      <c r="J20" s="2"/>
      <c r="K20" s="2"/>
      <c r="L20" s="2"/>
    </row>
    <row r="21" spans="1:12" ht="15" x14ac:dyDescent="0.5">
      <c r="A21" s="2"/>
      <c r="B21" s="2"/>
      <c r="C21" s="2" t="s">
        <v>358</v>
      </c>
      <c r="D21" s="2"/>
      <c r="E21" s="2"/>
      <c r="F21" s="2"/>
      <c r="G21" s="135">
        <v>320</v>
      </c>
      <c r="H21" s="2"/>
      <c r="I21" s="2"/>
      <c r="J21" s="2"/>
      <c r="K21" s="2"/>
      <c r="L21" s="2"/>
    </row>
    <row r="22" spans="1:12" ht="15" x14ac:dyDescent="0.5">
      <c r="A22" s="2"/>
      <c r="B22" s="2"/>
      <c r="C22" s="2" t="s">
        <v>396</v>
      </c>
      <c r="D22" s="2"/>
      <c r="E22" s="2"/>
      <c r="F22" s="2"/>
      <c r="G22" s="99">
        <v>270</v>
      </c>
      <c r="H22" s="2"/>
      <c r="I22" s="2"/>
      <c r="J22" s="2"/>
      <c r="K22" s="2"/>
      <c r="L22" s="2"/>
    </row>
    <row r="23" spans="1:12" ht="15" x14ac:dyDescent="0.5">
      <c r="A23" s="2"/>
      <c r="B23" s="2"/>
      <c r="C23" s="2" t="s">
        <v>360</v>
      </c>
      <c r="D23" s="2"/>
      <c r="E23" s="2"/>
      <c r="F23" s="2"/>
      <c r="G23" s="111">
        <f>SUM(G20-G21)</f>
        <v>2560</v>
      </c>
      <c r="H23" s="2"/>
      <c r="I23" s="2"/>
      <c r="J23" s="2"/>
      <c r="K23" s="2"/>
      <c r="L23" s="2"/>
    </row>
    <row r="24" spans="1:12" ht="15" x14ac:dyDescent="0.5">
      <c r="A24" s="2"/>
      <c r="B24" s="2"/>
      <c r="C24" s="2" t="s">
        <v>361</v>
      </c>
      <c r="D24" s="2"/>
      <c r="E24" s="2"/>
      <c r="F24" s="2"/>
      <c r="G24" s="99">
        <v>8000</v>
      </c>
      <c r="H24" s="2"/>
      <c r="I24" s="2"/>
      <c r="J24" s="2"/>
      <c r="K24" s="2"/>
      <c r="L24" s="2"/>
    </row>
    <row r="25" spans="1:12" ht="7.5" customHeight="1" x14ac:dyDescent="0.5">
      <c r="A25" s="2"/>
      <c r="B25" s="2"/>
      <c r="D25" s="2"/>
      <c r="E25" s="2"/>
      <c r="F25" s="2"/>
      <c r="G25" s="109"/>
      <c r="H25" s="2"/>
      <c r="I25" s="2"/>
      <c r="J25" s="2"/>
      <c r="K25" s="2"/>
      <c r="L25" s="2"/>
    </row>
    <row r="26" spans="1:12" ht="15" x14ac:dyDescent="0.5">
      <c r="A26" s="2"/>
      <c r="B26" s="4" t="s">
        <v>2</v>
      </c>
      <c r="C26" s="2"/>
      <c r="D26" s="2"/>
      <c r="E26" s="2"/>
      <c r="F26" s="2"/>
      <c r="G26" s="109"/>
      <c r="H26" s="2"/>
      <c r="I26" s="2"/>
      <c r="J26" s="2"/>
      <c r="K26" s="2"/>
      <c r="L26" s="2"/>
    </row>
    <row r="27" spans="1:12" ht="15" x14ac:dyDescent="0.5">
      <c r="A27" s="2"/>
      <c r="C27" s="2" t="s">
        <v>250</v>
      </c>
      <c r="D27" s="2"/>
      <c r="E27" s="2"/>
      <c r="F27" s="2"/>
      <c r="G27" s="123">
        <v>0.09</v>
      </c>
      <c r="H27" s="2"/>
      <c r="I27" s="110"/>
      <c r="J27" s="2"/>
      <c r="K27" s="2"/>
      <c r="L27" s="2"/>
    </row>
    <row r="28" spans="1:12" ht="15" x14ac:dyDescent="0.5">
      <c r="A28" s="2"/>
      <c r="C28" s="2" t="s">
        <v>251</v>
      </c>
      <c r="D28" s="2"/>
      <c r="E28" s="2"/>
      <c r="F28" s="2"/>
      <c r="G28" s="123">
        <v>0.06</v>
      </c>
      <c r="H28" s="2"/>
      <c r="I28" s="2"/>
      <c r="J28" s="2"/>
      <c r="K28" s="2"/>
      <c r="L28" s="2"/>
    </row>
    <row r="29" spans="1:12" ht="7.5" customHeight="1" x14ac:dyDescent="0.5">
      <c r="A29" s="2"/>
      <c r="C29" s="2"/>
      <c r="D29" s="2"/>
      <c r="E29" s="2"/>
      <c r="F29" s="2"/>
      <c r="G29" s="123"/>
      <c r="H29" s="2"/>
      <c r="I29" s="2"/>
      <c r="J29" s="2"/>
      <c r="K29" s="2"/>
      <c r="L29" s="2"/>
    </row>
    <row r="30" spans="1:12" ht="15" x14ac:dyDescent="0.5">
      <c r="A30" s="2"/>
      <c r="B30" s="4" t="s">
        <v>267</v>
      </c>
      <c r="C30" s="2"/>
      <c r="D30" s="113" t="s">
        <v>252</v>
      </c>
      <c r="E30" s="113" t="s">
        <v>253</v>
      </c>
      <c r="F30" s="113" t="s">
        <v>255</v>
      </c>
      <c r="G30" s="113" t="s">
        <v>254</v>
      </c>
      <c r="H30" s="2"/>
      <c r="I30" s="2"/>
      <c r="J30" s="2"/>
      <c r="K30" s="2"/>
      <c r="L30" s="2"/>
    </row>
    <row r="31" spans="1:12" ht="15" x14ac:dyDescent="0.5">
      <c r="A31" s="2"/>
      <c r="B31" s="2" t="s">
        <v>366</v>
      </c>
      <c r="D31" s="124">
        <v>325</v>
      </c>
      <c r="E31" s="124">
        <v>375</v>
      </c>
      <c r="F31" s="124">
        <v>425</v>
      </c>
      <c r="G31" s="124">
        <v>475</v>
      </c>
      <c r="H31" s="2"/>
      <c r="I31" s="110"/>
      <c r="J31" s="2"/>
      <c r="K31" s="2"/>
      <c r="L31" s="2"/>
    </row>
    <row r="32" spans="1:12" ht="15" x14ac:dyDescent="0.5">
      <c r="A32" s="2"/>
      <c r="B32" s="2" t="s">
        <v>284</v>
      </c>
      <c r="D32" s="125">
        <v>0</v>
      </c>
      <c r="E32" s="125">
        <v>0.1</v>
      </c>
      <c r="F32" s="125">
        <v>0.7</v>
      </c>
      <c r="G32" s="125">
        <v>0.2</v>
      </c>
      <c r="H32" s="2"/>
      <c r="I32" s="110"/>
      <c r="J32" s="2"/>
      <c r="K32" s="2"/>
      <c r="L32" s="2"/>
    </row>
    <row r="33" spans="1:12" ht="15" x14ac:dyDescent="0.5">
      <c r="A33" s="2"/>
      <c r="B33" s="2" t="s">
        <v>367</v>
      </c>
      <c r="D33" s="23">
        <f>ROUND(D31*(1-($G$27+$G$28)),0)</f>
        <v>276</v>
      </c>
      <c r="E33" s="23">
        <f>ROUND(E31*(1-($G$27+$G$28)),0)</f>
        <v>319</v>
      </c>
      <c r="F33" s="23">
        <f>ROUND(F31*(1-($G$27+$G$28)),0)</f>
        <v>361</v>
      </c>
      <c r="G33" s="23">
        <f>ROUND(G31*(1-($G$27+$G$28)),0)</f>
        <v>404</v>
      </c>
      <c r="H33" s="2"/>
      <c r="I33" s="2"/>
      <c r="J33" s="2"/>
      <c r="K33" s="2"/>
      <c r="L33" s="2"/>
    </row>
    <row r="34" spans="1:12" ht="15.75" customHeight="1" x14ac:dyDescent="0.5">
      <c r="A34" s="2"/>
      <c r="B34" s="2"/>
      <c r="D34" s="112" t="str">
        <f>IF(D32+E32+F32+G32=100%,"","ERROR - Acre % Must Total 100%")</f>
        <v/>
      </c>
      <c r="E34" s="23"/>
      <c r="F34" s="23"/>
      <c r="G34" s="23"/>
      <c r="H34" s="2"/>
      <c r="I34" s="2"/>
      <c r="J34" s="2"/>
      <c r="K34" s="2"/>
      <c r="L34" s="2"/>
    </row>
    <row r="35" spans="1:12" ht="15" x14ac:dyDescent="0.5">
      <c r="A35" s="2"/>
      <c r="B35" s="4" t="s">
        <v>384</v>
      </c>
      <c r="C35" s="2"/>
      <c r="D35" s="2"/>
      <c r="E35" s="2"/>
      <c r="F35" s="2"/>
      <c r="G35" s="2"/>
      <c r="H35" s="2"/>
      <c r="I35" s="2"/>
      <c r="J35" s="2"/>
      <c r="K35" s="2"/>
      <c r="L35" s="2"/>
    </row>
    <row r="36" spans="1:12" ht="15" x14ac:dyDescent="0.5">
      <c r="A36" s="2"/>
      <c r="B36" s="4"/>
      <c r="C36" s="2" t="s">
        <v>277</v>
      </c>
      <c r="D36" s="2"/>
      <c r="E36" s="107">
        <v>13.75</v>
      </c>
      <c r="F36" s="2"/>
      <c r="G36" s="2"/>
      <c r="H36" s="2"/>
      <c r="I36" s="2"/>
      <c r="J36" s="2"/>
      <c r="K36" s="2"/>
      <c r="L36" s="2"/>
    </row>
    <row r="37" spans="1:12" ht="15" x14ac:dyDescent="0.5">
      <c r="A37" s="2"/>
      <c r="B37" s="4"/>
      <c r="C37" s="2" t="s">
        <v>278</v>
      </c>
      <c r="D37" s="2"/>
      <c r="E37" s="107">
        <v>0</v>
      </c>
      <c r="F37" s="2"/>
      <c r="G37" s="2"/>
      <c r="H37" s="2"/>
      <c r="I37" s="2"/>
      <c r="J37" s="2"/>
      <c r="K37" s="2"/>
      <c r="L37" s="2"/>
    </row>
    <row r="38" spans="1:12" ht="15" x14ac:dyDescent="0.5">
      <c r="A38" s="2"/>
      <c r="B38" s="4"/>
      <c r="C38" s="2" t="s">
        <v>279</v>
      </c>
      <c r="D38" s="2"/>
      <c r="E38" s="107">
        <v>0</v>
      </c>
      <c r="F38" s="2"/>
      <c r="G38" s="2"/>
      <c r="H38" s="2"/>
      <c r="I38" s="2"/>
      <c r="J38" s="2"/>
      <c r="K38" s="2"/>
      <c r="L38" s="2"/>
    </row>
    <row r="39" spans="1:12" ht="7.5" customHeight="1" x14ac:dyDescent="0.5">
      <c r="A39" s="2"/>
      <c r="B39" s="4"/>
      <c r="C39" s="2"/>
      <c r="D39" s="2"/>
      <c r="E39" s="2"/>
      <c r="F39" s="2"/>
      <c r="G39" s="2"/>
      <c r="H39" s="2"/>
      <c r="I39" s="2"/>
      <c r="J39" s="2"/>
      <c r="K39" s="2"/>
      <c r="L39" s="2"/>
    </row>
    <row r="40" spans="1:12" ht="15" x14ac:dyDescent="0.5">
      <c r="A40" s="2"/>
      <c r="B40" s="4" t="s">
        <v>4</v>
      </c>
      <c r="C40" s="2"/>
      <c r="D40" s="2"/>
      <c r="E40" s="2"/>
      <c r="F40" s="2"/>
      <c r="G40" s="2"/>
      <c r="H40" s="2"/>
      <c r="I40" s="2"/>
      <c r="J40" s="2"/>
      <c r="K40" s="2"/>
      <c r="L40" s="2"/>
    </row>
    <row r="41" spans="1:12" ht="15" x14ac:dyDescent="0.5">
      <c r="A41" s="2"/>
      <c r="B41" s="2"/>
      <c r="C41" s="2" t="s">
        <v>155</v>
      </c>
      <c r="D41" s="2"/>
      <c r="E41" s="2"/>
      <c r="F41" s="2"/>
      <c r="G41" s="141">
        <v>0.05</v>
      </c>
      <c r="H41" s="2"/>
      <c r="I41" s="2"/>
      <c r="J41" s="2"/>
      <c r="K41" s="2"/>
      <c r="L41" s="2"/>
    </row>
    <row r="42" spans="1:12" ht="15" x14ac:dyDescent="0.5">
      <c r="A42" s="2"/>
      <c r="B42" s="2"/>
      <c r="C42" s="2" t="s">
        <v>60</v>
      </c>
      <c r="D42" s="2"/>
      <c r="E42" s="2"/>
      <c r="F42" s="2"/>
      <c r="G42" s="141">
        <v>2.75E-2</v>
      </c>
      <c r="H42" s="2"/>
      <c r="I42" s="2"/>
      <c r="J42" s="2"/>
      <c r="K42" s="2"/>
      <c r="L42" s="2"/>
    </row>
    <row r="43" spans="1:12" ht="7.5" customHeight="1" x14ac:dyDescent="0.5">
      <c r="A43" s="2"/>
      <c r="B43" s="2"/>
      <c r="C43" s="2"/>
      <c r="D43" s="2"/>
      <c r="E43" s="2"/>
      <c r="F43" s="2"/>
      <c r="G43" s="2"/>
      <c r="H43" s="2"/>
      <c r="I43" s="2"/>
      <c r="J43" s="2"/>
      <c r="K43" s="2"/>
      <c r="L43" s="2"/>
    </row>
    <row r="44" spans="1:12" ht="15" x14ac:dyDescent="0.5">
      <c r="A44" s="2"/>
      <c r="B44" s="4" t="s">
        <v>5</v>
      </c>
      <c r="C44" s="2"/>
      <c r="D44" s="2"/>
      <c r="F44" s="6" t="s">
        <v>383</v>
      </c>
      <c r="G44" s="6" t="s">
        <v>261</v>
      </c>
      <c r="H44" s="2"/>
      <c r="I44" s="2"/>
      <c r="J44" s="2"/>
      <c r="K44" s="2"/>
      <c r="L44" s="2"/>
    </row>
    <row r="45" spans="1:12" ht="15" x14ac:dyDescent="0.5">
      <c r="A45" s="2"/>
      <c r="B45" s="2"/>
      <c r="D45" s="2"/>
      <c r="E45" s="26" t="s">
        <v>377</v>
      </c>
      <c r="F45" s="7" t="s">
        <v>382</v>
      </c>
      <c r="G45" s="7" t="s">
        <v>262</v>
      </c>
      <c r="H45" s="2"/>
      <c r="I45" s="2"/>
      <c r="J45" s="2"/>
      <c r="K45" s="2"/>
      <c r="L45" s="2"/>
    </row>
    <row r="46" spans="1:12" ht="15" x14ac:dyDescent="0.5">
      <c r="A46" s="2"/>
      <c r="B46" s="117" t="s">
        <v>378</v>
      </c>
      <c r="E46" s="107">
        <v>17.5</v>
      </c>
      <c r="F46" s="120">
        <v>18</v>
      </c>
      <c r="G46" s="52">
        <f>SUM($F$46*E46)</f>
        <v>315</v>
      </c>
      <c r="H46" s="2"/>
      <c r="I46" s="2"/>
      <c r="J46" s="2"/>
      <c r="K46" s="2"/>
      <c r="L46" s="2"/>
    </row>
    <row r="47" spans="1:12" ht="15" x14ac:dyDescent="0.5">
      <c r="A47" s="2"/>
      <c r="B47" s="117" t="s">
        <v>379</v>
      </c>
      <c r="E47" s="107">
        <v>2.33</v>
      </c>
      <c r="F47" s="4">
        <f>F46</f>
        <v>18</v>
      </c>
      <c r="G47" s="52">
        <f>SUM(F47*E47)</f>
        <v>41.94</v>
      </c>
      <c r="H47" s="2"/>
      <c r="I47" s="2"/>
      <c r="J47" s="2"/>
      <c r="K47" s="2"/>
      <c r="L47" s="2"/>
    </row>
    <row r="48" spans="1:12" ht="15" x14ac:dyDescent="0.5">
      <c r="A48" s="2"/>
      <c r="B48" s="117" t="s">
        <v>380</v>
      </c>
      <c r="E48" s="107">
        <v>2.8</v>
      </c>
      <c r="F48" s="4">
        <f>F47</f>
        <v>18</v>
      </c>
      <c r="G48" s="52">
        <f>SUM(F48*E48)</f>
        <v>50.4</v>
      </c>
      <c r="H48" s="2"/>
      <c r="I48" s="2"/>
      <c r="J48" s="2"/>
      <c r="K48" s="2"/>
      <c r="L48" s="2"/>
    </row>
    <row r="49" spans="1:15" ht="15" x14ac:dyDescent="0.5">
      <c r="A49" s="2"/>
      <c r="B49" s="117" t="s">
        <v>381</v>
      </c>
      <c r="E49" s="127">
        <v>2.33</v>
      </c>
      <c r="F49" s="4">
        <f>F48</f>
        <v>18</v>
      </c>
      <c r="G49" s="88">
        <f>SUM(F49*E49)</f>
        <v>41.94</v>
      </c>
      <c r="H49" s="2" t="s">
        <v>1</v>
      </c>
      <c r="I49" s="2"/>
      <c r="J49" s="2"/>
      <c r="K49" s="2"/>
      <c r="L49" s="2"/>
    </row>
    <row r="50" spans="1:15" ht="15" x14ac:dyDescent="0.5">
      <c r="A50" s="2"/>
      <c r="B50" s="2"/>
      <c r="C50" s="2"/>
      <c r="D50" s="2"/>
      <c r="E50" s="2"/>
      <c r="F50" s="2"/>
      <c r="G50" s="18">
        <f>SUM(G46:G49)</f>
        <v>449.28</v>
      </c>
      <c r="H50" s="2"/>
      <c r="I50" s="2"/>
      <c r="J50" s="2"/>
      <c r="K50" s="2"/>
      <c r="L50" s="2"/>
    </row>
    <row r="51" spans="1:15" ht="7.5" customHeight="1" x14ac:dyDescent="0.5">
      <c r="A51" s="2"/>
      <c r="B51" s="2"/>
      <c r="C51" s="2"/>
      <c r="D51" s="2"/>
      <c r="E51" s="2"/>
      <c r="F51" s="2"/>
      <c r="G51" s="18"/>
      <c r="H51" s="2"/>
      <c r="I51" s="2"/>
      <c r="J51" s="2"/>
      <c r="K51" s="2"/>
      <c r="L51" s="2"/>
    </row>
    <row r="52" spans="1:15" ht="15" x14ac:dyDescent="0.5">
      <c r="A52" s="2"/>
      <c r="B52" s="4" t="s">
        <v>6</v>
      </c>
      <c r="C52" s="4"/>
      <c r="G52" s="6"/>
      <c r="H52" s="2"/>
      <c r="I52" s="2"/>
      <c r="J52" s="2"/>
      <c r="K52" s="2"/>
      <c r="M52" s="2"/>
      <c r="N52" s="2"/>
      <c r="O52" s="23"/>
    </row>
    <row r="53" spans="1:15" ht="15" x14ac:dyDescent="0.5">
      <c r="A53" s="2"/>
      <c r="B53" s="4"/>
      <c r="C53" s="4"/>
      <c r="D53" s="6" t="s">
        <v>227</v>
      </c>
      <c r="E53" s="6" t="s">
        <v>7</v>
      </c>
      <c r="F53" s="6" t="s">
        <v>259</v>
      </c>
      <c r="G53" s="6" t="s">
        <v>261</v>
      </c>
      <c r="I53" s="2"/>
      <c r="J53" s="4"/>
      <c r="K53" s="2"/>
      <c r="M53" s="2"/>
      <c r="N53" s="2"/>
      <c r="O53" s="113"/>
    </row>
    <row r="54" spans="1:15" ht="15" x14ac:dyDescent="0.5">
      <c r="A54" s="2"/>
      <c r="B54" s="2"/>
      <c r="C54" s="2"/>
      <c r="D54" s="7" t="s">
        <v>228</v>
      </c>
      <c r="E54" s="7" t="s">
        <v>8</v>
      </c>
      <c r="F54" s="7" t="s">
        <v>260</v>
      </c>
      <c r="G54" s="7" t="s">
        <v>262</v>
      </c>
      <c r="I54" s="2"/>
      <c r="J54" s="2"/>
      <c r="K54" s="2"/>
      <c r="L54" s="50"/>
      <c r="M54" s="2"/>
      <c r="N54" s="2"/>
      <c r="O54" s="51"/>
    </row>
    <row r="55" spans="1:15" ht="15" x14ac:dyDescent="0.5">
      <c r="A55" s="2"/>
      <c r="B55" s="2" t="s">
        <v>257</v>
      </c>
      <c r="C55" s="2"/>
      <c r="D55" s="50">
        <v>800</v>
      </c>
      <c r="E55" s="120">
        <v>105</v>
      </c>
      <c r="F55" s="114">
        <f>SUM(D55/(2204.5855*0.28))</f>
        <v>1.2960000222912</v>
      </c>
      <c r="G55" s="18">
        <f t="shared" ref="G55:G60" si="0">SUM(F55*E55)</f>
        <v>136.08000234057602</v>
      </c>
      <c r="I55" s="2"/>
      <c r="J55" s="2"/>
      <c r="K55" s="2"/>
      <c r="L55" s="50"/>
      <c r="M55" s="2"/>
      <c r="N55" s="2"/>
      <c r="O55" s="51"/>
    </row>
    <row r="56" spans="1:15" ht="15" x14ac:dyDescent="0.5">
      <c r="A56" s="2"/>
      <c r="B56" s="2" t="s">
        <v>229</v>
      </c>
      <c r="C56" s="2"/>
      <c r="D56" s="50">
        <v>1300</v>
      </c>
      <c r="E56" s="120">
        <v>105</v>
      </c>
      <c r="F56" s="114">
        <f>SUM(D56/(2204.5855*0.46))</f>
        <v>1.2819130655271656</v>
      </c>
      <c r="G56" s="18">
        <f t="shared" si="0"/>
        <v>134.60087188035237</v>
      </c>
      <c r="I56" s="2"/>
      <c r="J56" s="2"/>
      <c r="K56" s="2"/>
      <c r="L56" s="50"/>
      <c r="M56" s="2"/>
      <c r="N56" s="2"/>
      <c r="O56" s="51"/>
    </row>
    <row r="57" spans="1:15" ht="15" x14ac:dyDescent="0.5">
      <c r="A57" s="2"/>
      <c r="B57" s="2" t="s">
        <v>309</v>
      </c>
      <c r="C57" s="2"/>
      <c r="D57" s="50">
        <v>950</v>
      </c>
      <c r="E57" s="120">
        <v>65</v>
      </c>
      <c r="F57" s="114">
        <f>SUM((D57-(AVERAGE(F55,F56)*(0.1*2204.5855)))/(2204.5855*0.34))</f>
        <v>0.88830692064972272</v>
      </c>
      <c r="G57" s="18">
        <f t="shared" si="0"/>
        <v>57.739949842231979</v>
      </c>
      <c r="I57" s="2"/>
      <c r="J57" s="2"/>
      <c r="K57" s="2"/>
      <c r="L57" s="50"/>
      <c r="M57" s="2"/>
      <c r="N57" s="2"/>
    </row>
    <row r="58" spans="1:15" ht="15" x14ac:dyDescent="0.5">
      <c r="A58" s="2"/>
      <c r="B58" s="2" t="s">
        <v>334</v>
      </c>
      <c r="C58" s="2"/>
      <c r="D58" s="50">
        <v>1300</v>
      </c>
      <c r="E58" s="120">
        <v>45</v>
      </c>
      <c r="F58" s="114">
        <f>SUM((D58-(AVERAGE(F55,F56)*(0.11*2204.5855)))/(2204.5855*0.52))</f>
        <v>0.86133613521631913</v>
      </c>
      <c r="G58" s="18">
        <f t="shared" si="0"/>
        <v>38.76012608473436</v>
      </c>
      <c r="I58" s="2"/>
      <c r="J58" s="2"/>
      <c r="K58" s="2"/>
      <c r="L58" s="50"/>
      <c r="M58" s="2"/>
      <c r="N58" s="2"/>
    </row>
    <row r="59" spans="1:15" ht="15" x14ac:dyDescent="0.5">
      <c r="A59" s="2"/>
      <c r="B59" s="2" t="s">
        <v>231</v>
      </c>
      <c r="C59" s="2"/>
      <c r="D59" s="50">
        <v>1000</v>
      </c>
      <c r="E59" s="120">
        <v>260</v>
      </c>
      <c r="F59" s="114">
        <f>SUM(D59/(2204.5855*0.6))</f>
        <v>0.75600001300320019</v>
      </c>
      <c r="G59" s="18">
        <f t="shared" si="0"/>
        <v>196.56000338083206</v>
      </c>
      <c r="I59" s="2"/>
      <c r="J59" s="2"/>
      <c r="K59" s="2"/>
      <c r="L59" s="50"/>
      <c r="M59" s="2"/>
      <c r="N59" s="2"/>
      <c r="O59" s="51"/>
    </row>
    <row r="60" spans="1:15" ht="15" x14ac:dyDescent="0.5">
      <c r="A60" s="2"/>
      <c r="B60" s="2" t="s">
        <v>232</v>
      </c>
      <c r="C60" s="2"/>
      <c r="D60" s="50">
        <v>850</v>
      </c>
      <c r="E60" s="120">
        <v>45</v>
      </c>
      <c r="F60" s="114">
        <f>SUM((D60-(AVERAGE(F55,F56)*(0.205*2204.5855)))/(2204.5855*0.24))</f>
        <v>0.50551631304270683</v>
      </c>
      <c r="G60" s="18">
        <f t="shared" si="0"/>
        <v>22.748234086921808</v>
      </c>
      <c r="I60" s="2"/>
      <c r="J60" s="2"/>
      <c r="K60" s="2"/>
      <c r="L60" s="50"/>
      <c r="M60" s="2"/>
      <c r="N60" s="2"/>
    </row>
    <row r="61" spans="1:15" ht="15" x14ac:dyDescent="0.5">
      <c r="A61" s="2"/>
      <c r="B61" s="2" t="s">
        <v>263</v>
      </c>
      <c r="E61" s="5"/>
      <c r="G61" s="128">
        <v>35</v>
      </c>
      <c r="I61" s="2"/>
      <c r="J61" s="2"/>
    </row>
    <row r="62" spans="1:15" ht="15" x14ac:dyDescent="0.5">
      <c r="A62" s="2"/>
      <c r="B62" s="2"/>
      <c r="E62" s="5"/>
      <c r="G62" s="32">
        <f>SUM(G55:G61)</f>
        <v>621.48918761564858</v>
      </c>
      <c r="I62" s="2"/>
      <c r="J62" s="2"/>
    </row>
    <row r="63" spans="1:15" ht="7.5" customHeight="1" x14ac:dyDescent="0.5">
      <c r="A63" s="2"/>
      <c r="B63" s="2"/>
      <c r="E63" s="5"/>
      <c r="G63" s="32"/>
      <c r="I63" s="2"/>
      <c r="J63" s="2"/>
    </row>
    <row r="64" spans="1:15" ht="15" x14ac:dyDescent="0.5">
      <c r="A64" s="2"/>
      <c r="B64" s="4" t="s">
        <v>264</v>
      </c>
      <c r="C64" s="2"/>
      <c r="D64" s="2"/>
      <c r="H64" s="2" t="s">
        <v>1</v>
      </c>
      <c r="I64" s="2"/>
      <c r="J64" s="2"/>
      <c r="K64" s="2"/>
      <c r="L64" s="2"/>
    </row>
    <row r="65" spans="1:12" ht="15" x14ac:dyDescent="0.5">
      <c r="A65" s="2"/>
      <c r="B65" s="4"/>
      <c r="C65" s="2"/>
      <c r="D65" s="2"/>
      <c r="E65" s="6" t="s">
        <v>14</v>
      </c>
      <c r="F65" s="6" t="s">
        <v>265</v>
      </c>
      <c r="G65" s="6" t="s">
        <v>261</v>
      </c>
      <c r="H65" s="2"/>
      <c r="I65" s="2"/>
      <c r="J65" s="2"/>
      <c r="K65" s="2"/>
      <c r="L65" s="2"/>
    </row>
    <row r="66" spans="1:12" ht="15" x14ac:dyDescent="0.5">
      <c r="A66" s="2"/>
      <c r="B66" s="4" t="s">
        <v>10</v>
      </c>
      <c r="C66" s="2"/>
      <c r="D66" s="2"/>
      <c r="E66" s="7" t="s">
        <v>15</v>
      </c>
      <c r="F66" s="7" t="s">
        <v>266</v>
      </c>
      <c r="G66" s="7" t="s">
        <v>262</v>
      </c>
      <c r="H66" s="2"/>
      <c r="I66" s="2"/>
      <c r="J66" s="2"/>
      <c r="K66" s="2"/>
      <c r="L66" s="2"/>
    </row>
    <row r="67" spans="1:12" ht="15" x14ac:dyDescent="0.5">
      <c r="A67" s="2"/>
      <c r="B67" s="2"/>
      <c r="C67" s="2" t="s">
        <v>11</v>
      </c>
      <c r="D67" s="2"/>
      <c r="E67" s="5"/>
      <c r="F67" s="2"/>
      <c r="G67" s="107">
        <v>9.67</v>
      </c>
      <c r="H67" s="2"/>
      <c r="I67" s="2"/>
      <c r="J67" s="2"/>
      <c r="K67" s="2"/>
      <c r="L67" s="2"/>
    </row>
    <row r="68" spans="1:12" ht="15" x14ac:dyDescent="0.5">
      <c r="A68" s="2"/>
      <c r="C68" s="2" t="s">
        <v>12</v>
      </c>
      <c r="D68" s="2"/>
      <c r="E68" s="2"/>
      <c r="F68" s="2"/>
      <c r="G68" s="129">
        <v>55</v>
      </c>
      <c r="H68" s="2" t="s">
        <v>1</v>
      </c>
      <c r="I68" s="2"/>
      <c r="J68" s="2"/>
      <c r="K68" s="2"/>
      <c r="L68" s="2"/>
    </row>
    <row r="69" spans="1:12" ht="15" x14ac:dyDescent="0.5">
      <c r="A69" s="2"/>
      <c r="C69" s="4"/>
      <c r="D69" s="2"/>
      <c r="E69" s="2"/>
      <c r="F69" s="2"/>
      <c r="G69" s="52">
        <f>SUM(G67:G68)</f>
        <v>64.67</v>
      </c>
      <c r="H69" s="2"/>
      <c r="I69" s="2"/>
      <c r="J69" s="2"/>
      <c r="K69" s="2"/>
      <c r="L69" s="2"/>
    </row>
    <row r="70" spans="1:12" ht="15" x14ac:dyDescent="0.5">
      <c r="A70" s="2"/>
      <c r="B70" s="4" t="s">
        <v>13</v>
      </c>
      <c r="C70" s="2"/>
      <c r="D70" s="2"/>
      <c r="F70" s="6"/>
      <c r="G70" s="6"/>
      <c r="H70" s="2"/>
      <c r="I70" s="2"/>
      <c r="J70" s="2"/>
      <c r="K70" s="2"/>
      <c r="L70" s="2"/>
    </row>
    <row r="71" spans="1:12" ht="15" x14ac:dyDescent="0.5">
      <c r="A71" s="2"/>
      <c r="B71" s="2"/>
      <c r="C71" s="2" t="s">
        <v>16</v>
      </c>
      <c r="D71" s="2"/>
      <c r="E71" s="120">
        <v>11</v>
      </c>
      <c r="F71" s="107">
        <v>8</v>
      </c>
      <c r="G71" s="52">
        <f>SUM(E71*F71:F71)</f>
        <v>88</v>
      </c>
      <c r="H71" s="115"/>
      <c r="I71" s="2"/>
      <c r="J71" s="2"/>
      <c r="K71" s="2"/>
      <c r="L71" s="2"/>
    </row>
    <row r="72" spans="1:12" ht="15" x14ac:dyDescent="0.5">
      <c r="A72" s="2"/>
      <c r="B72" s="2"/>
      <c r="C72" s="2" t="s">
        <v>17</v>
      </c>
      <c r="D72" s="2"/>
      <c r="E72" s="120">
        <v>2</v>
      </c>
      <c r="F72" s="107">
        <v>23</v>
      </c>
      <c r="G72" s="52">
        <f>SUM(E72*F72:F72)</f>
        <v>46</v>
      </c>
      <c r="H72" s="115"/>
      <c r="I72" s="2"/>
      <c r="J72" s="2"/>
      <c r="K72" s="2"/>
      <c r="L72" s="2"/>
    </row>
    <row r="73" spans="1:12" ht="15" x14ac:dyDescent="0.5">
      <c r="A73" s="2"/>
      <c r="B73" s="2"/>
      <c r="C73" s="2" t="s">
        <v>406</v>
      </c>
      <c r="D73" s="2"/>
      <c r="E73" s="120">
        <v>3</v>
      </c>
      <c r="F73" s="107">
        <v>31</v>
      </c>
      <c r="G73" s="52">
        <f>SUM(E73*F73:F73)</f>
        <v>93</v>
      </c>
      <c r="H73" s="115"/>
      <c r="I73" s="2"/>
      <c r="J73" s="2"/>
      <c r="K73" s="2"/>
      <c r="L73" s="2"/>
    </row>
    <row r="74" spans="1:12" ht="15" x14ac:dyDescent="0.5">
      <c r="A74" s="2"/>
      <c r="B74" s="2"/>
      <c r="C74" s="2" t="s">
        <v>18</v>
      </c>
      <c r="D74" s="2"/>
      <c r="E74" s="120">
        <v>1</v>
      </c>
      <c r="F74" s="107">
        <v>22</v>
      </c>
      <c r="G74" s="88">
        <f>SUM(E74*F74:F74)</f>
        <v>22</v>
      </c>
      <c r="H74" s="5"/>
      <c r="I74" s="2"/>
      <c r="J74" s="2"/>
      <c r="K74" s="2"/>
      <c r="L74" s="2"/>
    </row>
    <row r="75" spans="1:12" ht="15" x14ac:dyDescent="0.5">
      <c r="A75" s="2"/>
      <c r="B75" s="2"/>
      <c r="C75" s="4"/>
      <c r="D75" s="2"/>
      <c r="E75" s="4"/>
      <c r="F75" s="5"/>
      <c r="G75" s="52">
        <f>SUM(G71:G74)</f>
        <v>249</v>
      </c>
      <c r="H75" s="5"/>
      <c r="I75" s="2"/>
      <c r="J75" s="2"/>
      <c r="K75" s="2"/>
      <c r="L75" s="2"/>
    </row>
    <row r="76" spans="1:12" ht="7.5" customHeight="1" x14ac:dyDescent="0.5">
      <c r="A76" s="2"/>
      <c r="C76" s="9"/>
      <c r="D76" s="2"/>
      <c r="E76" s="2"/>
      <c r="F76" s="2"/>
      <c r="G76" s="2"/>
      <c r="H76" s="2"/>
      <c r="I76" s="2"/>
      <c r="J76" s="2"/>
      <c r="K76" s="2"/>
      <c r="L76" s="2"/>
    </row>
    <row r="77" spans="1:12" ht="15" x14ac:dyDescent="0.5">
      <c r="A77" s="2"/>
      <c r="B77" s="4" t="s">
        <v>172</v>
      </c>
      <c r="C77" s="9"/>
      <c r="D77" s="2"/>
      <c r="E77" s="2" t="s">
        <v>335</v>
      </c>
      <c r="F77" s="2"/>
      <c r="G77" s="107">
        <v>1.1499999999999999</v>
      </c>
      <c r="H77" s="2"/>
      <c r="I77" s="2"/>
      <c r="J77" s="2"/>
      <c r="K77" s="2"/>
      <c r="L77" s="2"/>
    </row>
    <row r="78" spans="1:12" ht="7.5" customHeight="1" x14ac:dyDescent="0.5">
      <c r="A78" s="2"/>
      <c r="B78" s="2"/>
      <c r="C78" s="2"/>
      <c r="D78" s="2"/>
      <c r="E78" s="2"/>
      <c r="F78" s="2"/>
      <c r="G78" s="2"/>
      <c r="H78" s="2"/>
      <c r="I78" s="2"/>
      <c r="J78" s="2"/>
      <c r="K78" s="2"/>
      <c r="L78" s="2"/>
    </row>
    <row r="79" spans="1:12" ht="15" x14ac:dyDescent="0.5">
      <c r="A79" s="2"/>
      <c r="B79" s="91"/>
      <c r="D79" s="23" t="s">
        <v>14</v>
      </c>
      <c r="E79" s="23" t="s">
        <v>268</v>
      </c>
      <c r="F79" s="6" t="s">
        <v>268</v>
      </c>
      <c r="G79" s="6" t="s">
        <v>261</v>
      </c>
      <c r="H79" s="2"/>
      <c r="I79" s="2"/>
      <c r="J79" s="2"/>
      <c r="K79" s="2"/>
      <c r="L79" s="2"/>
    </row>
    <row r="80" spans="1:12" ht="15" x14ac:dyDescent="0.5">
      <c r="A80" s="2"/>
      <c r="B80" s="270" t="s">
        <v>369</v>
      </c>
      <c r="C80" s="270"/>
      <c r="D80" s="113" t="s">
        <v>22</v>
      </c>
      <c r="E80" s="113" t="s">
        <v>270</v>
      </c>
      <c r="F80" s="7" t="s">
        <v>269</v>
      </c>
      <c r="G80" s="7" t="s">
        <v>262</v>
      </c>
      <c r="H80" s="2"/>
      <c r="I80" s="2"/>
      <c r="J80" s="2"/>
      <c r="K80" s="2"/>
      <c r="L80" s="2"/>
    </row>
    <row r="81" spans="1:12" ht="15" x14ac:dyDescent="0.5">
      <c r="A81" s="2"/>
      <c r="B81" s="2" t="s">
        <v>23</v>
      </c>
      <c r="D81" s="124">
        <v>0</v>
      </c>
      <c r="E81" s="139">
        <v>0.75</v>
      </c>
      <c r="F81" s="89">
        <f>SUM(E81/4.546)</f>
        <v>0.1649802023757149</v>
      </c>
      <c r="G81" s="52">
        <f>SUM($G$77*E81*D81)</f>
        <v>0</v>
      </c>
      <c r="H81" s="2"/>
      <c r="I81" s="2"/>
      <c r="J81" s="2"/>
      <c r="K81" s="2"/>
      <c r="L81" s="2"/>
    </row>
    <row r="82" spans="1:12" ht="15" x14ac:dyDescent="0.5">
      <c r="A82" s="2"/>
      <c r="B82" s="2" t="s">
        <v>207</v>
      </c>
      <c r="D82" s="124">
        <v>1</v>
      </c>
      <c r="E82" s="139">
        <v>4.5999999999999996</v>
      </c>
      <c r="F82" s="89">
        <f t="shared" ref="F82:F91" si="1">SUM(E82/4.546)</f>
        <v>1.0118785745710512</v>
      </c>
      <c r="G82" s="52">
        <f t="shared" ref="G82:G91" si="2">SUM($G$77*E82*D82)</f>
        <v>5.2899999999999991</v>
      </c>
      <c r="H82" s="2"/>
      <c r="I82" s="2"/>
      <c r="J82" s="2"/>
      <c r="K82" s="2"/>
      <c r="L82" s="2"/>
    </row>
    <row r="83" spans="1:12" ht="15" x14ac:dyDescent="0.5">
      <c r="A83" s="2"/>
      <c r="B83" s="2" t="s">
        <v>24</v>
      </c>
      <c r="D83" s="124">
        <v>1</v>
      </c>
      <c r="E83" s="139">
        <v>1.29</v>
      </c>
      <c r="F83" s="89">
        <f t="shared" si="1"/>
        <v>0.28376594808622962</v>
      </c>
      <c r="G83" s="52">
        <f t="shared" si="2"/>
        <v>1.4834999999999998</v>
      </c>
      <c r="H83" s="2"/>
      <c r="I83" s="2"/>
      <c r="J83" s="2"/>
      <c r="K83" s="2"/>
      <c r="L83" s="2"/>
    </row>
    <row r="84" spans="1:12" ht="15" x14ac:dyDescent="0.5">
      <c r="A84" s="2"/>
      <c r="B84" s="2" t="s">
        <v>25</v>
      </c>
      <c r="D84" s="124">
        <v>1</v>
      </c>
      <c r="E84" s="139">
        <v>1.4</v>
      </c>
      <c r="F84" s="89">
        <f t="shared" si="1"/>
        <v>0.30796304443466782</v>
      </c>
      <c r="G84" s="52">
        <f t="shared" si="2"/>
        <v>1.6099999999999999</v>
      </c>
      <c r="H84" s="2"/>
      <c r="I84" s="2"/>
      <c r="J84" s="2"/>
      <c r="K84" s="2"/>
      <c r="L84" s="2"/>
    </row>
    <row r="85" spans="1:12" ht="15" x14ac:dyDescent="0.5">
      <c r="A85" s="2"/>
      <c r="B85" s="2" t="s">
        <v>26</v>
      </c>
      <c r="D85" s="124">
        <v>3</v>
      </c>
      <c r="E85" s="139">
        <v>0.42</v>
      </c>
      <c r="F85" s="89">
        <f t="shared" si="1"/>
        <v>9.2388913330400349E-2</v>
      </c>
      <c r="G85" s="52">
        <f t="shared" si="2"/>
        <v>1.4489999999999998</v>
      </c>
      <c r="H85" s="2"/>
      <c r="I85" s="2"/>
      <c r="J85" s="2"/>
      <c r="K85" s="2"/>
      <c r="L85" s="2"/>
    </row>
    <row r="86" spans="1:12" ht="15" x14ac:dyDescent="0.5">
      <c r="A86" s="2"/>
      <c r="B86" s="2" t="s">
        <v>24</v>
      </c>
      <c r="D86" s="124">
        <v>1</v>
      </c>
      <c r="E86" s="139">
        <v>1.74</v>
      </c>
      <c r="F86" s="89">
        <f t="shared" si="1"/>
        <v>0.38275406951165858</v>
      </c>
      <c r="G86" s="52">
        <f t="shared" si="2"/>
        <v>2.0009999999999999</v>
      </c>
      <c r="H86" s="2"/>
      <c r="I86" s="2"/>
      <c r="J86" s="2"/>
      <c r="K86" s="2"/>
      <c r="L86" s="2"/>
    </row>
    <row r="87" spans="1:12" ht="15" x14ac:dyDescent="0.5">
      <c r="A87" s="2"/>
      <c r="B87" s="2" t="s">
        <v>27</v>
      </c>
      <c r="D87" s="124">
        <v>2</v>
      </c>
      <c r="E87" s="139">
        <v>1.74</v>
      </c>
      <c r="F87" s="89">
        <f t="shared" si="1"/>
        <v>0.38275406951165858</v>
      </c>
      <c r="G87" s="52">
        <f t="shared" si="2"/>
        <v>4.0019999999999998</v>
      </c>
      <c r="H87" s="2"/>
      <c r="I87" s="2"/>
      <c r="J87" s="2"/>
      <c r="K87" s="2"/>
      <c r="L87" s="2"/>
    </row>
    <row r="88" spans="1:12" ht="15" x14ac:dyDescent="0.5">
      <c r="A88" s="2"/>
      <c r="B88" s="2" t="s">
        <v>28</v>
      </c>
      <c r="D88" s="124">
        <v>1</v>
      </c>
      <c r="E88" s="139">
        <v>0.42</v>
      </c>
      <c r="F88" s="89">
        <f t="shared" si="1"/>
        <v>9.2388913330400349E-2</v>
      </c>
      <c r="G88" s="52">
        <f t="shared" si="2"/>
        <v>0.48299999999999993</v>
      </c>
      <c r="H88" s="2"/>
      <c r="I88" s="2"/>
      <c r="J88" s="2"/>
      <c r="K88" s="2"/>
      <c r="L88" s="2"/>
    </row>
    <row r="89" spans="1:12" ht="15" x14ac:dyDescent="0.5">
      <c r="A89" s="2"/>
      <c r="B89" s="2" t="s">
        <v>29</v>
      </c>
      <c r="D89" s="124">
        <v>1</v>
      </c>
      <c r="E89" s="139">
        <v>8.5</v>
      </c>
      <c r="F89" s="89">
        <f t="shared" si="1"/>
        <v>1.869775626924769</v>
      </c>
      <c r="G89" s="52">
        <f t="shared" si="2"/>
        <v>9.7749999999999986</v>
      </c>
      <c r="H89" s="2"/>
      <c r="I89" s="2"/>
      <c r="J89" s="2"/>
      <c r="K89" s="2"/>
      <c r="L89" s="2"/>
    </row>
    <row r="90" spans="1:12" ht="15" x14ac:dyDescent="0.5">
      <c r="A90" s="2"/>
      <c r="B90" s="2" t="s">
        <v>271</v>
      </c>
      <c r="D90" s="124">
        <v>1</v>
      </c>
      <c r="E90" s="139">
        <v>5.75</v>
      </c>
      <c r="F90" s="89">
        <f t="shared" si="1"/>
        <v>1.2648482182138143</v>
      </c>
      <c r="G90" s="52">
        <f>SUM($G$77*E90*D90)</f>
        <v>6.6124999999999998</v>
      </c>
      <c r="H90" s="2"/>
      <c r="I90" s="2"/>
      <c r="J90" s="2"/>
      <c r="K90" s="2"/>
      <c r="L90" s="2"/>
    </row>
    <row r="91" spans="1:12" ht="15" x14ac:dyDescent="0.5">
      <c r="A91" s="2"/>
      <c r="B91" s="2" t="s">
        <v>95</v>
      </c>
      <c r="D91" s="124">
        <v>1</v>
      </c>
      <c r="E91" s="139">
        <v>1.85</v>
      </c>
      <c r="F91" s="89">
        <f t="shared" si="1"/>
        <v>0.40695116586009678</v>
      </c>
      <c r="G91" s="88">
        <f t="shared" si="2"/>
        <v>2.1274999999999999</v>
      </c>
      <c r="H91" s="2"/>
      <c r="I91" s="2"/>
      <c r="J91" s="2"/>
      <c r="K91" s="2"/>
      <c r="L91" s="2"/>
    </row>
    <row r="92" spans="1:12" ht="15" x14ac:dyDescent="0.5">
      <c r="A92" s="2"/>
      <c r="B92" s="2"/>
      <c r="C92" s="5"/>
      <c r="D92" s="5"/>
      <c r="E92" s="5"/>
      <c r="F92" s="5"/>
      <c r="G92" s="52">
        <f>SUM(G81:G91)</f>
        <v>34.833499999999994</v>
      </c>
      <c r="H92" s="2"/>
      <c r="I92" s="2"/>
      <c r="J92" s="2"/>
      <c r="K92" s="2"/>
      <c r="L92" s="2"/>
    </row>
    <row r="93" spans="1:12" ht="15" x14ac:dyDescent="0.5">
      <c r="A93" s="2"/>
      <c r="B93" s="4" t="s">
        <v>30</v>
      </c>
      <c r="C93" s="2"/>
      <c r="D93" s="2"/>
      <c r="E93" s="2"/>
      <c r="F93" s="2"/>
      <c r="G93" s="2"/>
      <c r="H93" s="2"/>
      <c r="I93" s="2" t="s">
        <v>1</v>
      </c>
      <c r="J93" s="2"/>
      <c r="K93" s="2"/>
      <c r="L93" s="2"/>
    </row>
    <row r="94" spans="1:12" ht="15" x14ac:dyDescent="0.5">
      <c r="A94" s="2"/>
      <c r="B94" s="2"/>
      <c r="C94" s="2" t="s">
        <v>31</v>
      </c>
      <c r="D94" s="2"/>
      <c r="E94" s="2"/>
      <c r="F94" s="2"/>
      <c r="G94" s="120">
        <v>275</v>
      </c>
      <c r="H94" s="2"/>
      <c r="I94" s="2"/>
      <c r="J94" s="2"/>
      <c r="K94" s="2"/>
      <c r="L94" s="2"/>
    </row>
    <row r="95" spans="1:12" ht="15" x14ac:dyDescent="0.5">
      <c r="A95" s="2"/>
      <c r="B95" s="2"/>
      <c r="C95" s="2" t="s">
        <v>32</v>
      </c>
      <c r="D95" s="2"/>
      <c r="E95" s="2"/>
      <c r="F95" s="2"/>
      <c r="G95" s="120">
        <v>2.5</v>
      </c>
      <c r="H95" s="2"/>
      <c r="I95" s="2"/>
      <c r="J95" s="2"/>
      <c r="K95" s="2"/>
      <c r="L95" s="2"/>
    </row>
    <row r="96" spans="1:12" ht="15" x14ac:dyDescent="0.5">
      <c r="A96" s="2"/>
      <c r="B96" s="2"/>
      <c r="C96" s="2" t="s">
        <v>33</v>
      </c>
      <c r="D96" s="2"/>
      <c r="E96" s="2"/>
      <c r="F96" s="2"/>
      <c r="G96" s="120">
        <v>15</v>
      </c>
      <c r="H96" s="2"/>
      <c r="I96" s="2"/>
      <c r="J96" s="2"/>
      <c r="K96" s="2"/>
      <c r="L96" s="2"/>
    </row>
    <row r="97" spans="1:12" ht="7.5" customHeight="1" x14ac:dyDescent="0.5">
      <c r="A97" s="2"/>
      <c r="B97" s="2"/>
      <c r="C97" s="2"/>
      <c r="D97" s="2"/>
      <c r="E97" s="2"/>
      <c r="F97" s="2"/>
      <c r="G97" s="2"/>
      <c r="H97" s="2"/>
      <c r="I97" s="2"/>
      <c r="J97" s="2"/>
      <c r="K97" s="2"/>
      <c r="L97" s="2"/>
    </row>
    <row r="98" spans="1:12" ht="15" x14ac:dyDescent="0.5">
      <c r="A98" s="2"/>
      <c r="B98" s="4" t="s">
        <v>336</v>
      </c>
      <c r="C98" s="2"/>
      <c r="D98" s="2"/>
      <c r="E98" s="2"/>
      <c r="F98" s="2"/>
      <c r="G98" s="2"/>
      <c r="H98" s="2"/>
      <c r="I98" s="2"/>
      <c r="J98" s="2"/>
      <c r="K98" s="2"/>
      <c r="L98" s="2"/>
    </row>
    <row r="99" spans="1:12" ht="15" x14ac:dyDescent="0.5">
      <c r="A99" s="2"/>
      <c r="B99" s="2" t="s">
        <v>407</v>
      </c>
      <c r="D99" s="2"/>
      <c r="E99" s="2"/>
      <c r="F99" s="2"/>
      <c r="G99" s="107">
        <v>1.1599999999999999</v>
      </c>
      <c r="H99" s="2"/>
      <c r="I99" s="2"/>
      <c r="J99" s="2"/>
      <c r="K99" s="2"/>
      <c r="L99" s="2"/>
    </row>
    <row r="100" spans="1:12" ht="15" x14ac:dyDescent="0.5">
      <c r="A100" s="2"/>
      <c r="B100" s="2" t="s">
        <v>368</v>
      </c>
      <c r="D100" s="2"/>
      <c r="E100" s="2"/>
      <c r="F100" s="2"/>
      <c r="G100" s="107">
        <v>0.42</v>
      </c>
      <c r="H100" s="2"/>
      <c r="I100" s="2"/>
      <c r="J100" s="2"/>
      <c r="K100" s="2"/>
      <c r="L100" s="2"/>
    </row>
    <row r="101" spans="1:12" ht="7.5" customHeight="1" x14ac:dyDescent="0.5">
      <c r="A101" s="2"/>
      <c r="B101" s="2"/>
      <c r="C101" s="2"/>
      <c r="D101" s="2"/>
      <c r="E101" s="2"/>
      <c r="F101" s="2"/>
      <c r="G101" s="2"/>
      <c r="H101" s="2"/>
      <c r="I101" s="2"/>
      <c r="J101" s="2"/>
      <c r="K101" s="2"/>
      <c r="L101" s="2"/>
    </row>
    <row r="102" spans="1:12" ht="15" x14ac:dyDescent="0.5">
      <c r="A102" s="2"/>
      <c r="B102" s="4" t="s">
        <v>272</v>
      </c>
      <c r="C102" s="2"/>
      <c r="D102" s="2"/>
      <c r="E102" s="2"/>
      <c r="F102" s="2"/>
      <c r="G102" s="2"/>
      <c r="H102" s="2"/>
      <c r="I102" s="2"/>
      <c r="J102" s="2"/>
      <c r="K102" s="2"/>
      <c r="L102" s="2"/>
    </row>
    <row r="103" spans="1:12" ht="15" x14ac:dyDescent="0.5">
      <c r="A103" s="2"/>
      <c r="B103" s="2"/>
      <c r="C103" s="2" t="s">
        <v>34</v>
      </c>
      <c r="D103" s="2"/>
      <c r="E103" s="2"/>
      <c r="F103" s="2"/>
      <c r="G103" s="120">
        <v>12</v>
      </c>
      <c r="H103" s="2"/>
      <c r="I103" s="2"/>
      <c r="J103" s="2"/>
      <c r="K103" s="2"/>
      <c r="L103" s="2"/>
    </row>
    <row r="104" spans="1:12" ht="15" x14ac:dyDescent="0.5">
      <c r="A104" s="2"/>
      <c r="B104" s="2"/>
      <c r="C104" s="2" t="s">
        <v>211</v>
      </c>
      <c r="D104" s="2"/>
      <c r="E104" s="2"/>
      <c r="F104" s="2"/>
      <c r="G104" s="120">
        <v>72</v>
      </c>
      <c r="H104" s="2"/>
      <c r="I104" s="5"/>
      <c r="J104" s="2"/>
      <c r="K104" s="2"/>
      <c r="L104" s="2"/>
    </row>
    <row r="105" spans="1:12" ht="15" x14ac:dyDescent="0.5">
      <c r="A105" s="2"/>
      <c r="B105" s="2"/>
      <c r="C105" s="2" t="s">
        <v>275</v>
      </c>
      <c r="D105" s="2"/>
      <c r="E105" s="2"/>
      <c r="F105" s="2"/>
      <c r="G105" s="123">
        <v>0.7</v>
      </c>
      <c r="H105" s="2"/>
      <c r="I105" s="5"/>
      <c r="J105" s="2"/>
      <c r="K105" s="2"/>
      <c r="L105" s="2"/>
    </row>
    <row r="106" spans="1:12" ht="15" x14ac:dyDescent="0.5">
      <c r="A106" s="2"/>
      <c r="B106" s="2"/>
      <c r="C106" s="2" t="s">
        <v>273</v>
      </c>
      <c r="D106" s="2"/>
      <c r="E106" s="2"/>
      <c r="F106" s="2"/>
      <c r="G106" s="107">
        <v>6.2</v>
      </c>
      <c r="H106" s="2"/>
      <c r="I106" s="2"/>
      <c r="J106" s="2"/>
      <c r="K106" s="2"/>
      <c r="L106" s="2"/>
    </row>
    <row r="107" spans="1:12" ht="15" x14ac:dyDescent="0.5">
      <c r="A107" s="2"/>
      <c r="B107" s="2"/>
      <c r="C107" s="2" t="s">
        <v>276</v>
      </c>
      <c r="D107" s="2"/>
      <c r="E107" s="2"/>
      <c r="F107" s="2"/>
      <c r="G107" s="123">
        <v>0.3</v>
      </c>
      <c r="H107" s="2"/>
      <c r="I107" s="5"/>
      <c r="J107" s="2"/>
      <c r="K107" s="2"/>
      <c r="L107" s="2"/>
    </row>
    <row r="108" spans="1:12" ht="15" x14ac:dyDescent="0.5">
      <c r="A108" s="2"/>
      <c r="B108" s="2"/>
      <c r="C108" s="2" t="s">
        <v>274</v>
      </c>
      <c r="D108" s="2"/>
      <c r="E108" s="2"/>
      <c r="F108" s="2"/>
      <c r="G108" s="107">
        <v>10.65</v>
      </c>
      <c r="H108" s="2"/>
      <c r="I108" s="2"/>
      <c r="J108" s="2"/>
      <c r="K108" s="2"/>
      <c r="L108" s="2"/>
    </row>
    <row r="109" spans="1:12" ht="15.75" customHeight="1" x14ac:dyDescent="0.5">
      <c r="A109" s="2"/>
      <c r="B109" s="2"/>
      <c r="C109" s="2"/>
      <c r="D109" s="2"/>
      <c r="E109" s="2"/>
      <c r="F109" s="2"/>
      <c r="G109" s="133" t="str">
        <f>IF(G105+G107=100%,"","ERROR - Pumping % Must Total 100%")</f>
        <v/>
      </c>
      <c r="H109" s="2"/>
      <c r="I109" s="2"/>
      <c r="J109" s="2"/>
      <c r="K109" s="2"/>
      <c r="L109" s="2"/>
    </row>
    <row r="110" spans="1:12" ht="15" x14ac:dyDescent="0.5">
      <c r="A110" s="2"/>
      <c r="B110" s="4" t="s">
        <v>191</v>
      </c>
      <c r="C110" s="2"/>
      <c r="D110" s="2"/>
      <c r="E110" s="7" t="s">
        <v>7</v>
      </c>
      <c r="F110" s="7" t="s">
        <v>261</v>
      </c>
      <c r="G110" s="7" t="s">
        <v>323</v>
      </c>
      <c r="H110" s="2"/>
      <c r="I110" s="2"/>
      <c r="J110" s="2"/>
      <c r="K110" s="2"/>
      <c r="L110" s="2"/>
    </row>
    <row r="111" spans="1:12" ht="15" x14ac:dyDescent="0.5">
      <c r="A111" s="2"/>
      <c r="B111" s="2"/>
      <c r="C111" s="2" t="s">
        <v>170</v>
      </c>
      <c r="D111" s="2"/>
      <c r="E111" s="141">
        <v>7.1499999999999994E-2</v>
      </c>
      <c r="F111" s="101">
        <f>SUM(E111*G209)</f>
        <v>390640.24999999994</v>
      </c>
      <c r="G111" s="101">
        <f>SUM(F111/$G$18)</f>
        <v>500.82083333333327</v>
      </c>
      <c r="H111" s="2"/>
      <c r="I111" s="2"/>
      <c r="J111" s="119"/>
      <c r="K111" s="109"/>
      <c r="L111" s="2"/>
    </row>
    <row r="112" spans="1:12" ht="15" x14ac:dyDescent="0.5">
      <c r="A112" s="2"/>
      <c r="B112" s="2"/>
      <c r="C112" s="2" t="s">
        <v>171</v>
      </c>
      <c r="D112" s="2"/>
      <c r="E112" s="141">
        <v>1.7500000000000002E-2</v>
      </c>
      <c r="F112" s="101">
        <f>SUM(E112*G169)</f>
        <v>98280.000000000015</v>
      </c>
      <c r="G112" s="101">
        <f>SUM(F112/$G$18)</f>
        <v>126.00000000000001</v>
      </c>
      <c r="H112" s="2"/>
      <c r="I112" s="2"/>
      <c r="J112" s="119"/>
      <c r="K112" s="109"/>
      <c r="L112" s="2"/>
    </row>
    <row r="113" spans="1:12" ht="15" x14ac:dyDescent="0.5">
      <c r="A113" s="2"/>
      <c r="B113" s="2"/>
      <c r="C113" s="2" t="s">
        <v>167</v>
      </c>
      <c r="D113" s="2"/>
      <c r="E113" s="141">
        <v>1.7500000000000002E-2</v>
      </c>
      <c r="F113" s="101">
        <f>SUM(E113*G182)</f>
        <v>25578.000000000004</v>
      </c>
      <c r="G113" s="101">
        <f>SUM(F113/$G$18)</f>
        <v>32.792307692307695</v>
      </c>
      <c r="H113" s="2"/>
      <c r="I113" s="2"/>
      <c r="J113" s="119"/>
      <c r="K113" s="109"/>
      <c r="L113" s="2"/>
    </row>
    <row r="114" spans="1:12" ht="15" x14ac:dyDescent="0.5">
      <c r="A114" s="2"/>
      <c r="B114" s="2"/>
      <c r="C114" s="2"/>
      <c r="D114" s="2"/>
      <c r="E114" s="2"/>
      <c r="F114" s="2"/>
      <c r="G114" s="2"/>
      <c r="H114" s="2"/>
      <c r="I114" s="2"/>
      <c r="J114" s="2"/>
      <c r="K114" s="2"/>
      <c r="L114" s="2"/>
    </row>
    <row r="115" spans="1:12" ht="15" x14ac:dyDescent="0.5">
      <c r="A115" s="2"/>
      <c r="B115" s="4" t="s">
        <v>35</v>
      </c>
      <c r="C115" s="2"/>
      <c r="D115" s="2"/>
      <c r="E115" s="7" t="s">
        <v>37</v>
      </c>
      <c r="F115" s="7" t="s">
        <v>322</v>
      </c>
      <c r="G115" s="7" t="s">
        <v>323</v>
      </c>
      <c r="H115" s="2"/>
      <c r="I115" s="2"/>
      <c r="J115" s="2"/>
      <c r="K115" s="2"/>
      <c r="L115" s="2"/>
    </row>
    <row r="116" spans="1:12" ht="15" x14ac:dyDescent="0.5">
      <c r="A116" s="2"/>
      <c r="B116" s="2"/>
      <c r="C116" s="4" t="s">
        <v>352</v>
      </c>
      <c r="E116" s="100">
        <v>14</v>
      </c>
      <c r="F116" s="107">
        <v>10</v>
      </c>
      <c r="G116" s="101">
        <f>(+E116*F116)</f>
        <v>140</v>
      </c>
      <c r="H116" s="2"/>
      <c r="I116" s="2"/>
      <c r="J116" s="2"/>
      <c r="K116" s="2"/>
      <c r="L116" s="2"/>
    </row>
    <row r="117" spans="1:12" ht="15" x14ac:dyDescent="0.5">
      <c r="A117" s="2"/>
      <c r="B117" s="2"/>
      <c r="C117" s="4" t="s">
        <v>353</v>
      </c>
      <c r="E117" s="100">
        <v>2</v>
      </c>
      <c r="F117" s="107">
        <v>9.5</v>
      </c>
      <c r="G117" s="101">
        <f>(+E117*F117)</f>
        <v>19</v>
      </c>
      <c r="H117" s="2"/>
      <c r="I117" s="2"/>
      <c r="J117" s="2"/>
      <c r="K117" s="2"/>
      <c r="L117" s="2"/>
    </row>
    <row r="118" spans="1:12" ht="7.5" customHeight="1" x14ac:dyDescent="0.5">
      <c r="A118" s="2"/>
      <c r="B118" s="2"/>
      <c r="C118" s="2"/>
      <c r="D118" s="2"/>
      <c r="E118" s="2"/>
      <c r="F118" s="2"/>
      <c r="G118" s="2"/>
      <c r="H118" s="2"/>
      <c r="I118" s="2"/>
      <c r="J118" s="2"/>
      <c r="K118" s="2"/>
      <c r="L118" s="2"/>
    </row>
    <row r="119" spans="1:12" ht="15" x14ac:dyDescent="0.5">
      <c r="A119" s="2"/>
      <c r="B119" s="4" t="s">
        <v>36</v>
      </c>
      <c r="C119" s="2"/>
      <c r="D119" s="2"/>
      <c r="E119" s="7" t="s">
        <v>38</v>
      </c>
      <c r="F119" s="7" t="s">
        <v>7</v>
      </c>
      <c r="G119" s="7" t="s">
        <v>323</v>
      </c>
      <c r="H119" s="2"/>
      <c r="I119" s="2"/>
      <c r="J119" s="2"/>
      <c r="K119" s="2"/>
      <c r="L119" s="2"/>
    </row>
    <row r="120" spans="1:12" ht="15" x14ac:dyDescent="0.5">
      <c r="A120" s="2"/>
      <c r="B120" s="2"/>
      <c r="C120" s="2" t="s">
        <v>294</v>
      </c>
      <c r="D120" s="2"/>
      <c r="E120" s="120">
        <v>16</v>
      </c>
      <c r="F120" s="107">
        <v>28</v>
      </c>
      <c r="G120" s="116">
        <f>SUM(E120*F120)</f>
        <v>448</v>
      </c>
      <c r="H120" s="2"/>
      <c r="I120" s="2"/>
      <c r="J120" s="2"/>
      <c r="K120" s="2"/>
      <c r="L120" s="2"/>
    </row>
    <row r="121" spans="1:12" ht="15" x14ac:dyDescent="0.5">
      <c r="A121" s="2"/>
      <c r="B121" s="2"/>
      <c r="C121" s="2" t="s">
        <v>293</v>
      </c>
      <c r="D121" s="2"/>
      <c r="E121" s="2"/>
      <c r="F121" s="2"/>
      <c r="G121" s="26">
        <f>G18</f>
        <v>780</v>
      </c>
      <c r="H121" s="2"/>
      <c r="I121" s="2"/>
      <c r="J121" s="2"/>
      <c r="K121" s="2"/>
      <c r="L121" s="2"/>
    </row>
    <row r="122" spans="1:12" ht="15" x14ac:dyDescent="0.5">
      <c r="A122" s="2"/>
      <c r="B122" s="2"/>
      <c r="D122" s="2"/>
      <c r="E122" s="2"/>
      <c r="F122" s="6" t="s">
        <v>39</v>
      </c>
      <c r="G122" s="101">
        <f>SUM(G120*G121)</f>
        <v>349440</v>
      </c>
      <c r="H122" s="2"/>
      <c r="I122" s="2"/>
      <c r="J122" s="2"/>
      <c r="K122" s="2"/>
      <c r="L122" s="2"/>
    </row>
    <row r="123" spans="1:12" ht="7.5" customHeight="1" x14ac:dyDescent="0.5">
      <c r="A123" s="2"/>
      <c r="B123" s="2"/>
      <c r="C123" s="2"/>
      <c r="D123" s="2"/>
      <c r="E123" s="2"/>
      <c r="F123" s="2"/>
      <c r="G123" s="2"/>
      <c r="H123" s="2"/>
      <c r="I123" s="2"/>
      <c r="J123" s="2"/>
      <c r="K123" s="2"/>
      <c r="L123" s="2"/>
    </row>
    <row r="124" spans="1:12" ht="15" x14ac:dyDescent="0.5">
      <c r="A124" s="2"/>
      <c r="B124" s="4" t="s">
        <v>40</v>
      </c>
      <c r="C124" s="2"/>
      <c r="D124" s="2"/>
      <c r="E124" s="7" t="s">
        <v>7</v>
      </c>
      <c r="F124" s="7" t="s">
        <v>293</v>
      </c>
      <c r="G124" s="2"/>
      <c r="H124" s="2" t="s">
        <v>1</v>
      </c>
      <c r="I124" s="2"/>
      <c r="J124" s="2"/>
      <c r="K124" s="2"/>
      <c r="L124" s="2"/>
    </row>
    <row r="125" spans="1:12" ht="15" x14ac:dyDescent="0.5">
      <c r="A125" s="2"/>
      <c r="B125" s="2"/>
      <c r="C125" s="2" t="s">
        <v>156</v>
      </c>
      <c r="D125" s="2"/>
      <c r="E125" s="127">
        <v>55.04</v>
      </c>
      <c r="F125" s="111">
        <f>G18</f>
        <v>780</v>
      </c>
      <c r="G125" s="101">
        <f>E125*G18</f>
        <v>42931.199999999997</v>
      </c>
      <c r="H125" s="2"/>
      <c r="I125" s="2"/>
      <c r="J125" s="2"/>
      <c r="K125" s="2"/>
      <c r="L125" s="2"/>
    </row>
    <row r="126" spans="1:12" ht="15" x14ac:dyDescent="0.5">
      <c r="A126" s="2"/>
      <c r="B126" s="2"/>
      <c r="C126" s="2" t="s">
        <v>158</v>
      </c>
      <c r="D126" s="2"/>
      <c r="E126" s="127">
        <v>0</v>
      </c>
      <c r="F126" s="111">
        <f>G18</f>
        <v>780</v>
      </c>
      <c r="G126" s="116">
        <f>E126*G18</f>
        <v>0</v>
      </c>
      <c r="H126" s="2"/>
      <c r="I126" s="2"/>
      <c r="J126" s="2"/>
      <c r="K126" s="2"/>
      <c r="L126" s="2"/>
    </row>
    <row r="127" spans="1:12" ht="15" x14ac:dyDescent="0.5">
      <c r="A127" s="2"/>
      <c r="B127" s="2"/>
      <c r="C127" s="2" t="s">
        <v>157</v>
      </c>
      <c r="D127" s="2"/>
      <c r="E127" s="141">
        <v>2.5999999999999999E-3</v>
      </c>
      <c r="F127" s="5"/>
      <c r="G127" s="101">
        <f>SUM(G172+G209)*E127</f>
        <v>29196.699999999997</v>
      </c>
      <c r="H127" s="2"/>
      <c r="I127" s="2"/>
      <c r="J127" s="2"/>
      <c r="K127" s="2"/>
      <c r="L127" s="2"/>
    </row>
    <row r="128" spans="1:12" ht="15" x14ac:dyDescent="0.5">
      <c r="A128" s="2"/>
      <c r="B128" s="2"/>
      <c r="C128" s="2" t="s">
        <v>397</v>
      </c>
      <c r="D128" s="2"/>
      <c r="E128" s="102">
        <v>525</v>
      </c>
      <c r="F128" s="4">
        <f>F200</f>
        <v>10</v>
      </c>
      <c r="G128" s="101">
        <f>SUM(F128*E128)</f>
        <v>5250</v>
      </c>
      <c r="H128" s="2"/>
      <c r="I128" s="2"/>
      <c r="J128" s="2"/>
      <c r="K128" s="2"/>
      <c r="L128" s="2"/>
    </row>
    <row r="129" spans="1:12" ht="15" x14ac:dyDescent="0.5">
      <c r="A129" s="2"/>
      <c r="B129" s="2"/>
      <c r="C129" s="2" t="s">
        <v>398</v>
      </c>
      <c r="D129" s="2"/>
      <c r="E129" s="102">
        <v>1050</v>
      </c>
      <c r="F129" s="120">
        <v>5</v>
      </c>
      <c r="G129" s="101">
        <f>SUM(F129*E129)</f>
        <v>5250</v>
      </c>
      <c r="H129" s="2"/>
      <c r="I129" s="2"/>
      <c r="J129" s="2"/>
      <c r="K129" s="2"/>
      <c r="L129" s="2"/>
    </row>
    <row r="130" spans="1:12" ht="15" x14ac:dyDescent="0.5">
      <c r="A130" s="2"/>
      <c r="B130" s="2"/>
      <c r="C130" s="2" t="s">
        <v>297</v>
      </c>
      <c r="D130" s="2"/>
      <c r="E130" s="5"/>
      <c r="F130" s="5"/>
      <c r="G130" s="126">
        <v>5.0000000000000001E-3</v>
      </c>
      <c r="H130" s="2"/>
      <c r="I130" s="2"/>
      <c r="J130" s="2"/>
      <c r="K130" s="2"/>
      <c r="L130" s="2"/>
    </row>
    <row r="131" spans="1:12" ht="15" x14ac:dyDescent="0.5">
      <c r="A131" s="2"/>
      <c r="B131" s="2"/>
      <c r="C131" s="2" t="s">
        <v>298</v>
      </c>
      <c r="D131" s="2"/>
      <c r="E131" s="5"/>
      <c r="F131" s="5"/>
      <c r="G131" s="107">
        <f>E36</f>
        <v>13.75</v>
      </c>
      <c r="H131" s="2"/>
      <c r="I131" s="2"/>
      <c r="J131" s="2"/>
      <c r="K131" s="2"/>
      <c r="L131" s="2"/>
    </row>
    <row r="132" spans="1:12" ht="7.5" customHeight="1" x14ac:dyDescent="0.5">
      <c r="A132" s="2"/>
      <c r="B132" s="2"/>
      <c r="C132" s="2"/>
      <c r="D132" s="2"/>
      <c r="E132" s="2"/>
      <c r="F132" s="2"/>
      <c r="G132" s="2"/>
      <c r="H132" s="2"/>
      <c r="I132" s="2"/>
      <c r="J132" s="2"/>
      <c r="K132" s="2"/>
      <c r="L132" s="2"/>
    </row>
    <row r="133" spans="1:12" ht="15" x14ac:dyDescent="0.5">
      <c r="A133" s="2"/>
      <c r="B133" s="4" t="s">
        <v>41</v>
      </c>
      <c r="C133" s="2"/>
      <c r="D133" s="7" t="s">
        <v>37</v>
      </c>
      <c r="E133" s="7" t="s">
        <v>7</v>
      </c>
      <c r="F133" s="7" t="s">
        <v>318</v>
      </c>
      <c r="G133" s="7" t="s">
        <v>261</v>
      </c>
      <c r="H133" s="2" t="s">
        <v>1</v>
      </c>
      <c r="I133" s="2"/>
      <c r="J133" s="2"/>
      <c r="K133" s="2"/>
      <c r="L133" s="2"/>
    </row>
    <row r="134" spans="1:12" ht="15" x14ac:dyDescent="0.5">
      <c r="A134" s="2"/>
      <c r="B134" s="2"/>
      <c r="C134" s="2" t="s">
        <v>159</v>
      </c>
      <c r="D134" s="109"/>
      <c r="E134" s="99">
        <v>9000</v>
      </c>
      <c r="F134" s="120">
        <v>10</v>
      </c>
      <c r="G134" s="101">
        <f>SUM(F134*E134)</f>
        <v>90000</v>
      </c>
      <c r="H134" s="2"/>
      <c r="I134" s="2"/>
      <c r="J134" s="2"/>
      <c r="K134" s="2"/>
      <c r="L134" s="2"/>
    </row>
    <row r="135" spans="1:12" ht="15" x14ac:dyDescent="0.5">
      <c r="A135" s="2"/>
      <c r="B135" s="2"/>
      <c r="C135" s="2" t="s">
        <v>401</v>
      </c>
      <c r="D135" s="142">
        <v>6</v>
      </c>
      <c r="E135" s="99">
        <v>110</v>
      </c>
      <c r="F135" s="120">
        <v>12</v>
      </c>
      <c r="G135" s="101">
        <f>SUM(E135*F135*D135)</f>
        <v>7920</v>
      </c>
      <c r="H135" s="2"/>
      <c r="I135" s="2"/>
      <c r="J135" s="2"/>
      <c r="K135" s="2"/>
      <c r="L135" s="2"/>
    </row>
    <row r="136" spans="1:12" ht="15" x14ac:dyDescent="0.5">
      <c r="A136" s="2"/>
      <c r="B136" s="2"/>
      <c r="C136" s="2"/>
      <c r="D136" s="2"/>
      <c r="E136" s="2"/>
      <c r="F136" s="2"/>
      <c r="G136" s="99"/>
      <c r="H136" s="2"/>
      <c r="I136" s="2"/>
      <c r="J136" s="2"/>
      <c r="K136" s="2"/>
      <c r="L136" s="2"/>
    </row>
    <row r="137" spans="1:12" ht="7.5" customHeight="1" x14ac:dyDescent="0.5">
      <c r="A137" s="2"/>
      <c r="B137" s="2"/>
      <c r="C137" s="2"/>
      <c r="D137" s="2"/>
      <c r="E137" s="2"/>
      <c r="F137" s="2"/>
      <c r="G137" s="2"/>
      <c r="H137" s="2"/>
      <c r="I137" s="2"/>
      <c r="J137" s="2"/>
      <c r="K137" s="2"/>
      <c r="L137" s="2"/>
    </row>
    <row r="138" spans="1:12" ht="15" x14ac:dyDescent="0.5">
      <c r="A138" s="2"/>
      <c r="B138" s="4" t="s">
        <v>183</v>
      </c>
      <c r="C138" s="2"/>
      <c r="D138" s="2"/>
      <c r="E138" s="7" t="s">
        <v>7</v>
      </c>
      <c r="F138" s="7" t="s">
        <v>293</v>
      </c>
      <c r="G138" s="2"/>
      <c r="H138" s="2" t="s">
        <v>1</v>
      </c>
      <c r="I138" s="2"/>
      <c r="J138" s="2"/>
      <c r="K138" s="2"/>
      <c r="L138" s="2"/>
    </row>
    <row r="139" spans="1:12" ht="15" x14ac:dyDescent="0.5">
      <c r="A139" s="2"/>
      <c r="B139" s="2"/>
      <c r="C139" s="2" t="s">
        <v>160</v>
      </c>
      <c r="D139" s="2"/>
      <c r="E139" s="127"/>
      <c r="F139" s="111">
        <f>G35</f>
        <v>0</v>
      </c>
      <c r="G139" s="99">
        <v>7000</v>
      </c>
      <c r="H139" s="2"/>
      <c r="I139" s="2"/>
      <c r="J139" s="2"/>
      <c r="K139" s="2"/>
      <c r="L139" s="2"/>
    </row>
    <row r="140" spans="1:12" ht="15" x14ac:dyDescent="0.5">
      <c r="A140" s="2"/>
      <c r="B140" s="2"/>
      <c r="C140" s="2" t="s">
        <v>161</v>
      </c>
      <c r="D140" s="2"/>
      <c r="E140" s="2"/>
      <c r="F140" s="2"/>
      <c r="G140" s="99">
        <v>2000</v>
      </c>
      <c r="H140" s="2"/>
      <c r="I140" s="2"/>
      <c r="J140" s="2"/>
      <c r="K140" s="2"/>
      <c r="L140" s="2"/>
    </row>
    <row r="141" spans="1:12" ht="15" x14ac:dyDescent="0.5">
      <c r="A141" s="2"/>
      <c r="B141" s="2"/>
      <c r="C141" s="117" t="s">
        <v>292</v>
      </c>
      <c r="D141" s="2"/>
      <c r="E141" s="99">
        <v>40</v>
      </c>
      <c r="F141" s="111">
        <f>G18</f>
        <v>780</v>
      </c>
      <c r="G141" s="101">
        <f>SUM(E141*F141)</f>
        <v>31200</v>
      </c>
      <c r="H141" s="2"/>
      <c r="I141" s="2"/>
      <c r="J141" s="2"/>
      <c r="K141" s="2"/>
      <c r="L141" s="2"/>
    </row>
    <row r="142" spans="1:12" ht="15" x14ac:dyDescent="0.5">
      <c r="A142" s="2"/>
      <c r="B142" s="2"/>
      <c r="C142" s="2" t="s">
        <v>192</v>
      </c>
      <c r="D142" s="2"/>
      <c r="E142" s="127">
        <v>35</v>
      </c>
      <c r="F142" s="111">
        <f>ROUND(G18*(G23/G20),0)</f>
        <v>693</v>
      </c>
      <c r="G142" s="101">
        <f>SUM(E142*F142)</f>
        <v>24255</v>
      </c>
      <c r="H142" s="2"/>
      <c r="I142" s="2"/>
      <c r="J142" s="2"/>
      <c r="K142" s="2"/>
      <c r="L142" s="2"/>
    </row>
    <row r="143" spans="1:12" ht="15" x14ac:dyDescent="0.5">
      <c r="A143" s="2"/>
      <c r="B143" s="2"/>
      <c r="C143" s="2" t="s">
        <v>364</v>
      </c>
      <c r="D143" s="2"/>
      <c r="E143" s="18">
        <f>G22</f>
        <v>270</v>
      </c>
      <c r="F143" s="111">
        <f>ROUND(G18*(G21/G20),0)</f>
        <v>87</v>
      </c>
      <c r="G143" s="101">
        <f>SUM(E143*F143)</f>
        <v>23490</v>
      </c>
      <c r="H143" s="2"/>
      <c r="I143" s="2"/>
      <c r="J143" s="2"/>
      <c r="K143" s="2"/>
      <c r="L143" s="2"/>
    </row>
    <row r="144" spans="1:12" ht="15" x14ac:dyDescent="0.5">
      <c r="A144" s="2"/>
      <c r="B144" s="2"/>
      <c r="C144" s="2" t="s">
        <v>162</v>
      </c>
      <c r="D144" s="2"/>
      <c r="E144" s="2"/>
      <c r="F144" s="2"/>
      <c r="G144" s="99">
        <v>2100</v>
      </c>
      <c r="H144" s="2"/>
      <c r="I144" s="2"/>
      <c r="J144" s="2"/>
      <c r="K144" s="2"/>
      <c r="L144" s="2"/>
    </row>
    <row r="145" spans="1:12" ht="15" x14ac:dyDescent="0.5">
      <c r="A145" s="2"/>
      <c r="B145" s="2"/>
      <c r="C145" s="2" t="s">
        <v>181</v>
      </c>
      <c r="D145" s="2"/>
      <c r="E145" s="2"/>
      <c r="F145" s="2"/>
      <c r="G145" s="99">
        <v>2100</v>
      </c>
      <c r="H145" s="2"/>
      <c r="I145" s="2"/>
      <c r="J145" s="2"/>
      <c r="K145" s="2"/>
      <c r="L145" s="2"/>
    </row>
    <row r="146" spans="1:12" ht="7.5" customHeight="1" x14ac:dyDescent="0.5">
      <c r="A146" s="2"/>
      <c r="B146" s="2"/>
      <c r="C146" s="2"/>
      <c r="D146" s="2"/>
      <c r="E146" s="2"/>
      <c r="F146" s="2"/>
      <c r="G146" s="2"/>
      <c r="H146" s="2"/>
      <c r="I146" s="2"/>
      <c r="J146" s="2"/>
      <c r="K146" s="2"/>
      <c r="L146" s="2"/>
    </row>
    <row r="147" spans="1:12" ht="15" x14ac:dyDescent="0.5">
      <c r="A147" s="2"/>
      <c r="B147" s="272" t="s">
        <v>188</v>
      </c>
      <c r="C147" s="273"/>
      <c r="D147" s="273"/>
      <c r="E147" s="273"/>
      <c r="F147" s="273"/>
      <c r="G147" s="273"/>
      <c r="H147" s="273"/>
      <c r="I147" s="2"/>
      <c r="J147" s="2"/>
      <c r="K147" s="2"/>
      <c r="L147" s="2"/>
    </row>
    <row r="148" spans="1:12" ht="7.5" customHeight="1" x14ac:dyDescent="0.5">
      <c r="A148" s="2"/>
      <c r="B148" s="2"/>
      <c r="C148" s="2"/>
      <c r="D148" s="2"/>
      <c r="E148" s="2"/>
      <c r="F148" s="2"/>
      <c r="G148" s="2"/>
      <c r="H148" s="2" t="s">
        <v>1</v>
      </c>
      <c r="I148" s="2"/>
      <c r="J148" s="2"/>
      <c r="K148" s="2"/>
      <c r="L148" s="2"/>
    </row>
    <row r="149" spans="1:12" ht="15" x14ac:dyDescent="0.5">
      <c r="A149" s="2"/>
      <c r="B149" s="4" t="s">
        <v>173</v>
      </c>
      <c r="C149" s="2"/>
      <c r="D149" s="2"/>
      <c r="E149" s="2"/>
      <c r="F149" s="2"/>
      <c r="G149" s="2"/>
      <c r="H149" s="2"/>
      <c r="I149" s="2"/>
      <c r="J149" s="2"/>
      <c r="K149" s="2"/>
      <c r="L149" s="2"/>
    </row>
    <row r="150" spans="1:12" ht="15" x14ac:dyDescent="0.5">
      <c r="A150" s="2"/>
      <c r="B150" s="2"/>
      <c r="C150" s="2"/>
      <c r="D150" s="2"/>
      <c r="E150" s="2"/>
      <c r="F150" s="2"/>
      <c r="G150" s="2"/>
      <c r="H150" s="2"/>
      <c r="I150" s="2"/>
      <c r="J150" s="2"/>
      <c r="K150" s="2"/>
      <c r="L150" s="2"/>
    </row>
    <row r="151" spans="1:12" ht="15" x14ac:dyDescent="0.5">
      <c r="A151" s="2"/>
      <c r="C151" s="4" t="s">
        <v>168</v>
      </c>
      <c r="D151" s="2"/>
      <c r="E151" s="2"/>
      <c r="F151" s="2"/>
      <c r="G151" s="2"/>
      <c r="H151" s="2"/>
      <c r="I151" s="2"/>
      <c r="J151" s="2"/>
      <c r="K151" s="2"/>
      <c r="L151" s="2"/>
    </row>
    <row r="152" spans="1:12" ht="15" x14ac:dyDescent="0.5">
      <c r="A152" s="2"/>
      <c r="C152" s="2" t="s">
        <v>165</v>
      </c>
      <c r="D152" s="2"/>
      <c r="E152" s="2"/>
      <c r="F152" s="2"/>
      <c r="G152" s="120">
        <v>20</v>
      </c>
      <c r="H152" s="2" t="s">
        <v>42</v>
      </c>
      <c r="I152" s="2"/>
      <c r="J152" s="2"/>
      <c r="K152" s="2"/>
      <c r="L152" s="2"/>
    </row>
    <row r="153" spans="1:12" ht="15" x14ac:dyDescent="0.5">
      <c r="A153" s="2"/>
      <c r="C153" s="2" t="s">
        <v>166</v>
      </c>
      <c r="D153" s="2"/>
      <c r="E153" s="2"/>
      <c r="F153" s="2"/>
      <c r="G153" s="120">
        <v>20</v>
      </c>
      <c r="H153" s="2" t="s">
        <v>42</v>
      </c>
      <c r="I153" s="2"/>
      <c r="J153" s="2"/>
      <c r="K153" s="2"/>
      <c r="L153" s="2"/>
    </row>
    <row r="154" spans="1:12" ht="15" x14ac:dyDescent="0.5">
      <c r="A154" s="2"/>
      <c r="C154" s="2" t="s">
        <v>47</v>
      </c>
      <c r="D154" s="2"/>
      <c r="E154" s="2"/>
      <c r="F154" s="2"/>
      <c r="G154" s="120">
        <v>15</v>
      </c>
      <c r="H154" s="2" t="s">
        <v>42</v>
      </c>
      <c r="I154" s="2"/>
      <c r="J154" s="2"/>
      <c r="K154" s="2"/>
      <c r="L154" s="2"/>
    </row>
    <row r="155" spans="1:12" ht="15" x14ac:dyDescent="0.5">
      <c r="A155" s="2"/>
      <c r="C155" s="2" t="s">
        <v>167</v>
      </c>
      <c r="D155" s="2"/>
      <c r="E155" s="2"/>
      <c r="F155" s="2"/>
      <c r="G155" s="120">
        <v>15</v>
      </c>
      <c r="H155" s="2" t="s">
        <v>42</v>
      </c>
      <c r="I155" s="2"/>
      <c r="J155" s="2"/>
      <c r="K155" s="2"/>
      <c r="L155" s="2"/>
    </row>
    <row r="156" spans="1:12" ht="7.5" customHeight="1" x14ac:dyDescent="0.5">
      <c r="A156" s="2"/>
      <c r="B156" s="2"/>
      <c r="C156" s="2"/>
      <c r="D156" s="2"/>
      <c r="E156" s="2"/>
      <c r="F156" s="2"/>
      <c r="G156" s="2"/>
      <c r="H156" s="2"/>
      <c r="I156" s="2"/>
      <c r="J156" s="2"/>
      <c r="K156" s="2"/>
      <c r="L156" s="2"/>
    </row>
    <row r="157" spans="1:12" ht="15" x14ac:dyDescent="0.5">
      <c r="A157" s="2"/>
      <c r="C157" s="4" t="s">
        <v>169</v>
      </c>
      <c r="D157" s="2"/>
      <c r="E157" s="2"/>
      <c r="F157" s="2"/>
      <c r="G157" s="2"/>
      <c r="H157" s="2"/>
      <c r="I157" s="2"/>
      <c r="J157" s="2"/>
      <c r="K157" s="2"/>
      <c r="L157" s="2"/>
    </row>
    <row r="158" spans="1:12" ht="15" x14ac:dyDescent="0.5">
      <c r="A158" s="2"/>
      <c r="C158" s="2" t="s">
        <v>165</v>
      </c>
      <c r="D158" s="2"/>
      <c r="E158" s="2"/>
      <c r="F158" s="2"/>
      <c r="G158" s="126">
        <v>0.05</v>
      </c>
      <c r="H158" s="2"/>
      <c r="I158" s="2"/>
      <c r="J158" s="2"/>
      <c r="K158" s="2"/>
      <c r="L158" s="2"/>
    </row>
    <row r="159" spans="1:12" ht="15" x14ac:dyDescent="0.5">
      <c r="A159" s="2"/>
      <c r="C159" s="2" t="s">
        <v>166</v>
      </c>
      <c r="D159" s="2"/>
      <c r="E159" s="2"/>
      <c r="F159" s="2"/>
      <c r="G159" s="126">
        <v>0.05</v>
      </c>
      <c r="H159" s="2"/>
      <c r="I159" s="2"/>
      <c r="J159" s="2"/>
      <c r="K159" s="2"/>
      <c r="L159" s="2"/>
    </row>
    <row r="160" spans="1:12" ht="15" x14ac:dyDescent="0.5">
      <c r="A160" s="2"/>
      <c r="C160" s="2" t="s">
        <v>47</v>
      </c>
      <c r="D160" s="2"/>
      <c r="E160" s="2"/>
      <c r="F160" s="2"/>
      <c r="G160" s="126">
        <v>0.15</v>
      </c>
      <c r="H160" s="2"/>
      <c r="I160" s="2"/>
      <c r="J160" s="2"/>
      <c r="K160" s="2"/>
      <c r="L160" s="2"/>
    </row>
    <row r="161" spans="1:13" ht="15" x14ac:dyDescent="0.5">
      <c r="A161" s="2"/>
      <c r="C161" s="2" t="s">
        <v>167</v>
      </c>
      <c r="D161" s="2"/>
      <c r="E161" s="2"/>
      <c r="F161" s="2"/>
      <c r="G161" s="126">
        <v>0.3</v>
      </c>
      <c r="H161" s="2"/>
      <c r="I161" s="2"/>
      <c r="J161" s="2"/>
      <c r="K161" s="2"/>
      <c r="L161" s="2"/>
    </row>
    <row r="162" spans="1:13" ht="7.5" customHeight="1" x14ac:dyDescent="0.5">
      <c r="A162" s="2"/>
      <c r="B162" s="2"/>
      <c r="C162" s="2"/>
      <c r="D162" s="2"/>
      <c r="E162" s="2"/>
      <c r="F162" s="2"/>
      <c r="G162" s="2"/>
      <c r="H162" s="2"/>
      <c r="I162" s="2"/>
      <c r="J162" s="2"/>
      <c r="K162" s="2"/>
      <c r="L162" s="2"/>
    </row>
    <row r="163" spans="1:13" ht="17.7" x14ac:dyDescent="0.6">
      <c r="A163" s="2"/>
      <c r="B163" s="274" t="s">
        <v>151</v>
      </c>
      <c r="C163" s="275"/>
      <c r="D163" s="275"/>
      <c r="E163" s="275"/>
      <c r="F163" s="275"/>
      <c r="G163" s="275"/>
      <c r="H163" s="275"/>
      <c r="I163" s="2"/>
      <c r="J163" s="2"/>
      <c r="K163" s="2"/>
      <c r="L163" s="2"/>
    </row>
    <row r="164" spans="1:13" ht="7.5" customHeight="1" x14ac:dyDescent="0.5">
      <c r="A164" s="2"/>
      <c r="B164" s="2"/>
      <c r="C164" s="2"/>
      <c r="D164" s="2"/>
      <c r="E164" s="2"/>
      <c r="F164" s="2"/>
      <c r="G164" s="2"/>
      <c r="H164" s="2" t="s">
        <v>1</v>
      </c>
      <c r="I164" s="2"/>
      <c r="J164" s="2"/>
      <c r="K164" s="2"/>
      <c r="L164" s="2"/>
    </row>
    <row r="165" spans="1:13" ht="15" x14ac:dyDescent="0.5">
      <c r="A165" s="2"/>
      <c r="C165" s="4" t="s">
        <v>164</v>
      </c>
      <c r="D165" s="2"/>
      <c r="E165" s="2"/>
      <c r="F165" s="2"/>
      <c r="G165" s="2" t="s">
        <v>1</v>
      </c>
      <c r="H165" s="2"/>
      <c r="I165" s="2" t="s">
        <v>1</v>
      </c>
      <c r="J165" s="2"/>
      <c r="K165" s="2"/>
      <c r="L165" s="2"/>
    </row>
    <row r="166" spans="1:13" ht="15" x14ac:dyDescent="0.5">
      <c r="A166" s="2"/>
      <c r="C166" s="20" t="str">
        <f>"Owned land "&amp;TEXT(G23,"#,###")&amp;" ac. @ "&amp;TEXT(G24,"$#,###")&amp;"/acre"</f>
        <v>Owned land 2,560 ac. @ $8,000/acre</v>
      </c>
      <c r="D166" s="2"/>
      <c r="E166" s="2"/>
      <c r="F166" s="2"/>
      <c r="G166" s="101">
        <f>$G$23*$G$24</f>
        <v>20480000</v>
      </c>
      <c r="H166" s="2"/>
      <c r="I166" s="2"/>
      <c r="J166" s="2"/>
      <c r="K166" s="2"/>
      <c r="L166" s="2"/>
    </row>
    <row r="167" spans="1:13" ht="7.5" customHeight="1" x14ac:dyDescent="0.5">
      <c r="A167" s="2"/>
      <c r="B167" s="2"/>
      <c r="C167" s="2"/>
      <c r="D167" s="2"/>
      <c r="E167" s="2"/>
      <c r="F167" s="2"/>
      <c r="G167" s="2"/>
      <c r="H167" s="2"/>
      <c r="I167" s="2"/>
      <c r="J167" s="2"/>
      <c r="K167" s="2"/>
      <c r="L167" s="2"/>
    </row>
    <row r="168" spans="1:13" ht="15" x14ac:dyDescent="0.5">
      <c r="A168" s="2"/>
      <c r="B168" s="2"/>
      <c r="C168" s="4" t="s">
        <v>91</v>
      </c>
      <c r="D168" s="2"/>
      <c r="E168" s="7" t="s">
        <v>316</v>
      </c>
      <c r="F168" s="7" t="s">
        <v>315</v>
      </c>
      <c r="G168" s="2"/>
      <c r="H168" s="2"/>
      <c r="I168" s="2"/>
      <c r="J168" s="2"/>
      <c r="K168" s="2"/>
      <c r="L168" s="2"/>
    </row>
    <row r="169" spans="1:13" ht="15" x14ac:dyDescent="0.5">
      <c r="A169" s="2"/>
      <c r="B169" s="2"/>
      <c r="C169" s="271" t="s">
        <v>314</v>
      </c>
      <c r="D169" s="271"/>
      <c r="E169" s="135">
        <v>312000</v>
      </c>
      <c r="F169" s="107">
        <v>18</v>
      </c>
      <c r="G169" s="101">
        <f>F169*E169</f>
        <v>5616000</v>
      </c>
      <c r="H169" s="2"/>
      <c r="I169" s="2"/>
      <c r="J169" s="2"/>
      <c r="K169" s="2"/>
      <c r="L169" s="2"/>
    </row>
    <row r="170" spans="1:13" ht="15" x14ac:dyDescent="0.5">
      <c r="A170" s="2"/>
      <c r="B170" s="2"/>
      <c r="C170" s="271"/>
      <c r="D170" s="271"/>
      <c r="E170" s="2"/>
      <c r="F170" s="2"/>
      <c r="H170" s="2"/>
      <c r="I170" s="110"/>
      <c r="J170" s="2"/>
      <c r="K170" s="2"/>
      <c r="L170" s="2"/>
    </row>
    <row r="171" spans="1:13" ht="15" x14ac:dyDescent="0.5">
      <c r="A171" s="2"/>
      <c r="B171" s="2"/>
      <c r="C171" s="2" t="s">
        <v>212</v>
      </c>
      <c r="D171" s="2"/>
      <c r="E171" s="2"/>
      <c r="F171" s="2"/>
      <c r="G171" s="130">
        <v>150000</v>
      </c>
      <c r="H171" s="2"/>
      <c r="I171" s="2"/>
      <c r="J171" s="2"/>
      <c r="K171" s="2"/>
      <c r="L171" s="2"/>
    </row>
    <row r="172" spans="1:13" ht="15" x14ac:dyDescent="0.5">
      <c r="A172" s="2"/>
      <c r="B172" s="2"/>
      <c r="C172" s="4" t="s">
        <v>44</v>
      </c>
      <c r="D172" s="2"/>
      <c r="E172" s="2"/>
      <c r="F172" s="2"/>
      <c r="G172" s="101">
        <f>SUM(G169:G171)</f>
        <v>5766000</v>
      </c>
      <c r="H172" s="2"/>
      <c r="I172" s="2"/>
      <c r="J172" s="2"/>
      <c r="K172" s="2"/>
      <c r="L172" s="2"/>
    </row>
    <row r="173" spans="1:13" ht="7.5" customHeight="1" x14ac:dyDescent="0.5">
      <c r="A173" s="2"/>
      <c r="H173" s="2"/>
      <c r="I173" s="2"/>
      <c r="J173" s="2"/>
      <c r="K173" s="2"/>
      <c r="L173" s="2"/>
    </row>
    <row r="174" spans="1:13" ht="15" x14ac:dyDescent="0.5">
      <c r="A174" s="2"/>
      <c r="B174" s="2"/>
      <c r="C174" s="4" t="s">
        <v>45</v>
      </c>
      <c r="D174" s="2"/>
      <c r="E174" s="7" t="s">
        <v>301</v>
      </c>
      <c r="F174" s="7" t="s">
        <v>37</v>
      </c>
      <c r="G174" s="2"/>
      <c r="H174" s="2"/>
      <c r="I174" s="2"/>
      <c r="J174" s="2"/>
      <c r="K174" s="2"/>
      <c r="L174" s="2"/>
    </row>
    <row r="175" spans="1:13" ht="15" x14ac:dyDescent="0.5">
      <c r="A175" s="2"/>
      <c r="B175" s="2"/>
      <c r="C175" s="2" t="s">
        <v>185</v>
      </c>
      <c r="D175" s="2"/>
      <c r="E175" s="99">
        <v>83300</v>
      </c>
      <c r="F175" s="100">
        <v>1</v>
      </c>
      <c r="G175" s="101">
        <f t="shared" ref="G175:G181" si="3">SUM(F175*E175)</f>
        <v>83300</v>
      </c>
      <c r="H175" s="2"/>
      <c r="I175" s="110"/>
      <c r="J175" s="2"/>
      <c r="K175" s="2"/>
      <c r="L175" s="99"/>
      <c r="M175" s="251"/>
    </row>
    <row r="176" spans="1:13" ht="15" x14ac:dyDescent="0.5">
      <c r="A176" s="2"/>
      <c r="B176" s="2"/>
      <c r="C176" s="2" t="s">
        <v>186</v>
      </c>
      <c r="D176" s="2"/>
      <c r="E176" s="102">
        <v>50500</v>
      </c>
      <c r="F176" s="100">
        <v>1</v>
      </c>
      <c r="G176" s="101">
        <f t="shared" si="3"/>
        <v>50500</v>
      </c>
      <c r="H176" s="2"/>
      <c r="I176" s="2"/>
      <c r="J176" s="2"/>
      <c r="K176" s="2"/>
      <c r="L176" s="102"/>
      <c r="M176" s="251"/>
    </row>
    <row r="177" spans="1:13" ht="15" x14ac:dyDescent="0.5">
      <c r="A177" s="2"/>
      <c r="B177" s="2"/>
      <c r="C177" s="2" t="s">
        <v>303</v>
      </c>
      <c r="D177" s="2"/>
      <c r="E177" s="102">
        <v>56400</v>
      </c>
      <c r="F177" s="100">
        <v>1</v>
      </c>
      <c r="G177" s="101">
        <f t="shared" si="3"/>
        <v>56400</v>
      </c>
      <c r="H177" s="2"/>
      <c r="I177" s="2"/>
      <c r="J177" s="2"/>
      <c r="K177" s="2"/>
      <c r="L177" s="102"/>
      <c r="M177" s="251"/>
    </row>
    <row r="178" spans="1:13" ht="15" x14ac:dyDescent="0.5">
      <c r="A178" s="2"/>
      <c r="B178" s="2"/>
      <c r="C178" s="2" t="s">
        <v>304</v>
      </c>
      <c r="D178" s="2"/>
      <c r="E178" s="102">
        <v>188100</v>
      </c>
      <c r="F178" s="100">
        <v>0</v>
      </c>
      <c r="G178" s="101">
        <f t="shared" si="3"/>
        <v>0</v>
      </c>
      <c r="H178" s="2"/>
      <c r="I178" s="2"/>
      <c r="J178" s="2"/>
      <c r="K178" s="2"/>
      <c r="L178" s="102"/>
      <c r="M178" s="251"/>
    </row>
    <row r="179" spans="1:13" ht="15" x14ac:dyDescent="0.5">
      <c r="A179" s="2"/>
      <c r="B179" s="2"/>
      <c r="C179" s="2" t="s">
        <v>302</v>
      </c>
      <c r="D179" s="2"/>
      <c r="E179" s="102">
        <v>45200</v>
      </c>
      <c r="F179" s="100">
        <v>3</v>
      </c>
      <c r="G179" s="101">
        <f t="shared" si="3"/>
        <v>135600</v>
      </c>
      <c r="H179" s="2"/>
      <c r="I179" s="2"/>
      <c r="J179" s="2"/>
      <c r="K179" s="2"/>
      <c r="L179" s="102"/>
      <c r="M179" s="251"/>
    </row>
    <row r="180" spans="1:13" ht="15" x14ac:dyDescent="0.5">
      <c r="A180" s="2"/>
      <c r="B180" s="2"/>
      <c r="C180" s="2" t="s">
        <v>305</v>
      </c>
      <c r="D180" s="2"/>
      <c r="E180" s="102">
        <v>28000</v>
      </c>
      <c r="F180" s="4">
        <f>G16</f>
        <v>6</v>
      </c>
      <c r="G180" s="101">
        <f t="shared" si="3"/>
        <v>168000</v>
      </c>
      <c r="H180" s="2"/>
      <c r="I180" s="2"/>
      <c r="J180" s="2"/>
      <c r="K180" s="2"/>
      <c r="L180" s="102"/>
      <c r="M180" s="251"/>
    </row>
    <row r="181" spans="1:13" ht="15" x14ac:dyDescent="0.5">
      <c r="A181" s="2"/>
      <c r="B181" s="2"/>
      <c r="C181" s="2" t="s">
        <v>187</v>
      </c>
      <c r="D181" s="2"/>
      <c r="E181" s="99">
        <v>161300</v>
      </c>
      <c r="F181" s="4">
        <f>G16</f>
        <v>6</v>
      </c>
      <c r="G181" s="103">
        <f t="shared" si="3"/>
        <v>967800</v>
      </c>
      <c r="H181" s="2"/>
      <c r="I181" s="2"/>
      <c r="J181" s="2"/>
      <c r="K181" s="2"/>
      <c r="L181" s="99"/>
      <c r="M181" s="251"/>
    </row>
    <row r="182" spans="1:13" ht="15" x14ac:dyDescent="0.5">
      <c r="A182" s="2"/>
      <c r="B182" s="2"/>
      <c r="C182" s="4" t="s">
        <v>46</v>
      </c>
      <c r="D182" s="2"/>
      <c r="E182" s="2"/>
      <c r="F182" s="2"/>
      <c r="G182" s="101">
        <f>SUM(G175:G181)</f>
        <v>1461600</v>
      </c>
      <c r="H182" s="2"/>
      <c r="I182" s="2"/>
      <c r="J182" s="2"/>
      <c r="K182" s="2"/>
      <c r="L182" s="2"/>
    </row>
    <row r="183" spans="1:13" ht="7.5" customHeight="1" x14ac:dyDescent="0.5">
      <c r="A183" s="2"/>
      <c r="B183" s="2"/>
      <c r="C183" s="2"/>
      <c r="D183" s="2"/>
      <c r="E183" s="2"/>
      <c r="F183" s="2"/>
      <c r="G183" s="2"/>
      <c r="H183" s="2"/>
      <c r="I183" s="2"/>
      <c r="J183" s="2"/>
      <c r="K183" s="2"/>
      <c r="L183" s="2"/>
    </row>
    <row r="184" spans="1:13" ht="15" x14ac:dyDescent="0.5">
      <c r="A184" s="2"/>
      <c r="C184" s="4" t="s">
        <v>47</v>
      </c>
      <c r="D184" s="2"/>
      <c r="E184" s="7" t="s">
        <v>301</v>
      </c>
      <c r="F184" s="7" t="s">
        <v>37</v>
      </c>
      <c r="G184" s="2"/>
      <c r="H184" s="2"/>
      <c r="I184" s="2"/>
      <c r="J184" s="2"/>
      <c r="K184" s="2"/>
      <c r="L184" s="2"/>
    </row>
    <row r="185" spans="1:13" ht="15" x14ac:dyDescent="0.5">
      <c r="A185" s="2"/>
      <c r="C185" s="100" t="s">
        <v>337</v>
      </c>
      <c r="D185" s="2"/>
      <c r="E185" s="99">
        <v>188100</v>
      </c>
      <c r="F185" s="100">
        <v>1</v>
      </c>
      <c r="G185" s="101">
        <f>SUM(E185*F185)</f>
        <v>188100</v>
      </c>
      <c r="H185" s="2"/>
      <c r="I185" s="2"/>
      <c r="J185" s="2"/>
      <c r="K185" s="2"/>
      <c r="L185" s="99"/>
      <c r="M185" s="251"/>
    </row>
    <row r="186" spans="1:13" ht="15" x14ac:dyDescent="0.5">
      <c r="A186" s="2"/>
      <c r="C186" s="100" t="s">
        <v>338</v>
      </c>
      <c r="D186" s="2"/>
      <c r="E186" s="99">
        <v>37600</v>
      </c>
      <c r="F186" s="100">
        <v>1</v>
      </c>
      <c r="G186" s="101">
        <f t="shared" ref="G186:G208" si="4">SUM(E186*F186)</f>
        <v>37600</v>
      </c>
      <c r="H186" s="2"/>
      <c r="I186" s="2"/>
      <c r="J186" s="2"/>
      <c r="K186" s="2"/>
      <c r="L186" s="99"/>
      <c r="M186" s="251"/>
    </row>
    <row r="187" spans="1:13" ht="15" x14ac:dyDescent="0.5">
      <c r="A187" s="2"/>
      <c r="C187" s="100" t="s">
        <v>355</v>
      </c>
      <c r="D187" s="2"/>
      <c r="E187" s="99">
        <v>430000</v>
      </c>
      <c r="F187" s="100">
        <v>1</v>
      </c>
      <c r="G187" s="101">
        <f t="shared" si="4"/>
        <v>430000</v>
      </c>
      <c r="H187" s="2"/>
      <c r="I187" s="2"/>
      <c r="J187" s="2"/>
      <c r="K187" s="2"/>
      <c r="L187" s="99"/>
      <c r="M187" s="251"/>
    </row>
    <row r="188" spans="1:13" ht="15" x14ac:dyDescent="0.5">
      <c r="A188" s="2"/>
      <c r="C188" s="100" t="s">
        <v>340</v>
      </c>
      <c r="D188" s="2"/>
      <c r="E188" s="99">
        <v>62900</v>
      </c>
      <c r="F188" s="100">
        <v>3</v>
      </c>
      <c r="G188" s="101">
        <f t="shared" si="4"/>
        <v>188700</v>
      </c>
      <c r="H188" s="2"/>
      <c r="I188" s="2"/>
      <c r="J188" s="2"/>
      <c r="K188" s="2"/>
      <c r="L188" s="99"/>
      <c r="M188" s="251"/>
    </row>
    <row r="189" spans="1:13" ht="15" x14ac:dyDescent="0.5">
      <c r="A189" s="2"/>
      <c r="C189" s="100" t="s">
        <v>357</v>
      </c>
      <c r="D189" s="2"/>
      <c r="E189" s="99">
        <v>25300</v>
      </c>
      <c r="F189" s="100">
        <v>1</v>
      </c>
      <c r="G189" s="101">
        <f t="shared" si="4"/>
        <v>25300</v>
      </c>
      <c r="H189" s="2"/>
      <c r="I189" s="2"/>
      <c r="J189" s="2"/>
      <c r="K189" s="2"/>
      <c r="L189" s="99"/>
      <c r="M189" s="251"/>
    </row>
    <row r="190" spans="1:13" ht="15" x14ac:dyDescent="0.5">
      <c r="A190" s="2"/>
      <c r="C190" s="100" t="s">
        <v>341</v>
      </c>
      <c r="D190" s="2"/>
      <c r="E190" s="99">
        <v>483800</v>
      </c>
      <c r="F190" s="100">
        <v>2</v>
      </c>
      <c r="G190" s="101">
        <f t="shared" si="4"/>
        <v>967600</v>
      </c>
      <c r="H190" s="2"/>
      <c r="I190" s="2"/>
      <c r="J190" s="2"/>
      <c r="K190" s="2"/>
      <c r="L190" s="99"/>
      <c r="M190" s="251"/>
    </row>
    <row r="191" spans="1:13" ht="15" x14ac:dyDescent="0.5">
      <c r="A191" s="2"/>
      <c r="C191" s="100" t="s">
        <v>342</v>
      </c>
      <c r="D191" s="2"/>
      <c r="E191" s="99">
        <v>101100</v>
      </c>
      <c r="F191" s="100">
        <v>1</v>
      </c>
      <c r="G191" s="101">
        <f t="shared" si="4"/>
        <v>101100</v>
      </c>
      <c r="H191" s="2"/>
      <c r="I191" s="2"/>
      <c r="J191" s="2"/>
      <c r="K191" s="2"/>
      <c r="L191" s="99"/>
      <c r="M191" s="251"/>
    </row>
    <row r="192" spans="1:13" ht="15" x14ac:dyDescent="0.5">
      <c r="A192" s="2"/>
      <c r="C192" s="100" t="s">
        <v>343</v>
      </c>
      <c r="D192" s="2"/>
      <c r="E192" s="99">
        <v>96800</v>
      </c>
      <c r="F192" s="100">
        <v>1</v>
      </c>
      <c r="G192" s="101">
        <f t="shared" si="4"/>
        <v>96800</v>
      </c>
      <c r="H192" s="2"/>
      <c r="I192" s="2"/>
      <c r="J192" s="2"/>
      <c r="K192" s="2"/>
      <c r="L192" s="99"/>
      <c r="M192" s="251"/>
    </row>
    <row r="193" spans="1:13" ht="15" x14ac:dyDescent="0.5">
      <c r="A193" s="2"/>
      <c r="C193" s="100" t="s">
        <v>344</v>
      </c>
      <c r="D193" s="2"/>
      <c r="E193" s="99">
        <v>467600</v>
      </c>
      <c r="F193" s="100">
        <v>2</v>
      </c>
      <c r="G193" s="101">
        <f t="shared" si="4"/>
        <v>935200</v>
      </c>
      <c r="H193" s="2"/>
      <c r="I193" s="2"/>
      <c r="J193" s="2"/>
      <c r="K193" s="2"/>
      <c r="L193" s="99"/>
      <c r="M193" s="251"/>
    </row>
    <row r="194" spans="1:13" ht="15" x14ac:dyDescent="0.5">
      <c r="A194" s="2"/>
      <c r="C194" s="100" t="s">
        <v>409</v>
      </c>
      <c r="D194" s="2"/>
      <c r="E194" s="99">
        <v>623500</v>
      </c>
      <c r="F194" s="100">
        <v>1</v>
      </c>
      <c r="G194" s="101">
        <f t="shared" si="4"/>
        <v>623500</v>
      </c>
      <c r="H194" s="2"/>
      <c r="I194" s="2"/>
      <c r="J194" s="2"/>
      <c r="K194" s="2"/>
      <c r="L194" s="99"/>
      <c r="M194" s="251"/>
    </row>
    <row r="195" spans="1:13" ht="15" x14ac:dyDescent="0.5">
      <c r="A195" s="2"/>
      <c r="C195" s="100" t="s">
        <v>271</v>
      </c>
      <c r="D195" s="2"/>
      <c r="E195" s="99">
        <v>31700</v>
      </c>
      <c r="F195" s="100">
        <v>1</v>
      </c>
      <c r="G195" s="101">
        <f t="shared" si="4"/>
        <v>31700</v>
      </c>
      <c r="H195" s="2"/>
      <c r="I195" s="2"/>
      <c r="J195" s="2"/>
      <c r="K195" s="2"/>
      <c r="L195" s="99"/>
      <c r="M195" s="251"/>
    </row>
    <row r="196" spans="1:13" ht="15" x14ac:dyDescent="0.5">
      <c r="A196" s="2"/>
      <c r="C196" s="100" t="s">
        <v>544</v>
      </c>
      <c r="D196" s="2"/>
      <c r="E196" s="99">
        <v>64500</v>
      </c>
      <c r="F196" s="100">
        <v>1</v>
      </c>
      <c r="G196" s="101">
        <f t="shared" si="4"/>
        <v>64500</v>
      </c>
      <c r="H196" s="2"/>
      <c r="I196" s="2"/>
      <c r="J196" s="2"/>
      <c r="K196" s="2"/>
      <c r="L196" s="99"/>
      <c r="M196" s="251"/>
    </row>
    <row r="197" spans="1:13" ht="15" x14ac:dyDescent="0.5">
      <c r="A197" s="2"/>
      <c r="C197" s="100" t="s">
        <v>346</v>
      </c>
      <c r="D197" s="2"/>
      <c r="E197" s="99">
        <v>31700</v>
      </c>
      <c r="F197" s="100">
        <v>1</v>
      </c>
      <c r="G197" s="101">
        <f t="shared" si="4"/>
        <v>31700</v>
      </c>
      <c r="H197" s="2"/>
      <c r="I197" s="2"/>
      <c r="J197" s="2"/>
      <c r="K197" s="2"/>
      <c r="L197" s="99"/>
      <c r="M197" s="251"/>
    </row>
    <row r="198" spans="1:13" ht="15" x14ac:dyDescent="0.5">
      <c r="A198" s="2"/>
      <c r="C198" s="100" t="s">
        <v>347</v>
      </c>
      <c r="D198" s="2"/>
      <c r="E198" s="99">
        <v>25300</v>
      </c>
      <c r="F198" s="100">
        <v>1</v>
      </c>
      <c r="G198" s="101">
        <f t="shared" si="4"/>
        <v>25300</v>
      </c>
      <c r="H198" s="2"/>
      <c r="I198" s="2"/>
      <c r="J198" s="2"/>
      <c r="K198" s="2"/>
      <c r="L198" s="99"/>
      <c r="M198" s="251"/>
    </row>
    <row r="199" spans="1:13" ht="15" x14ac:dyDescent="0.5">
      <c r="A199" s="2"/>
      <c r="C199" s="100" t="s">
        <v>348</v>
      </c>
      <c r="D199" s="2"/>
      <c r="E199" s="99">
        <v>101100</v>
      </c>
      <c r="F199" s="100">
        <v>1</v>
      </c>
      <c r="G199" s="101">
        <f t="shared" si="4"/>
        <v>101100</v>
      </c>
      <c r="H199" s="2"/>
      <c r="I199" s="2"/>
      <c r="J199" s="2"/>
      <c r="K199" s="2"/>
      <c r="L199" s="99"/>
      <c r="M199" s="251"/>
    </row>
    <row r="200" spans="1:13" ht="15" x14ac:dyDescent="0.5">
      <c r="A200" s="2"/>
      <c r="C200" s="100" t="s">
        <v>349</v>
      </c>
      <c r="D200" s="2"/>
      <c r="E200" s="99">
        <v>50500</v>
      </c>
      <c r="F200" s="100">
        <v>10</v>
      </c>
      <c r="G200" s="101">
        <f t="shared" ref="G200:G207" si="5">SUM(E200*F200)</f>
        <v>505000</v>
      </c>
      <c r="H200" s="2"/>
      <c r="I200" s="2"/>
      <c r="J200" s="2"/>
      <c r="K200" s="2"/>
      <c r="L200" s="99"/>
      <c r="M200" s="251"/>
    </row>
    <row r="201" spans="1:13" ht="15" x14ac:dyDescent="0.5">
      <c r="A201" s="2"/>
      <c r="C201" s="100" t="s">
        <v>350</v>
      </c>
      <c r="D201" s="2"/>
      <c r="E201" s="99">
        <v>37600</v>
      </c>
      <c r="F201" s="100">
        <v>10</v>
      </c>
      <c r="G201" s="101">
        <f t="shared" si="5"/>
        <v>376000</v>
      </c>
      <c r="H201" s="2"/>
      <c r="I201" s="2"/>
      <c r="J201" s="2"/>
      <c r="K201" s="2"/>
      <c r="L201" s="99"/>
      <c r="M201" s="251"/>
    </row>
    <row r="202" spans="1:13" ht="15" x14ac:dyDescent="0.5">
      <c r="A202" s="2"/>
      <c r="C202" s="100" t="s">
        <v>410</v>
      </c>
      <c r="D202" s="2"/>
      <c r="E202" s="99">
        <v>250500</v>
      </c>
      <c r="F202" s="100">
        <v>1</v>
      </c>
      <c r="G202" s="101">
        <f t="shared" si="5"/>
        <v>250500</v>
      </c>
      <c r="H202" s="2"/>
      <c r="I202" s="2"/>
      <c r="J202" s="2"/>
      <c r="K202" s="2"/>
      <c r="L202" s="99"/>
      <c r="M202" s="251"/>
    </row>
    <row r="203" spans="1:13" ht="15" x14ac:dyDescent="0.5">
      <c r="A203" s="2"/>
      <c r="C203" s="247" t="s">
        <v>545</v>
      </c>
      <c r="D203" s="2"/>
      <c r="E203" s="99">
        <v>268800</v>
      </c>
      <c r="F203" s="100">
        <v>1</v>
      </c>
      <c r="G203" s="101">
        <f t="shared" si="5"/>
        <v>268800</v>
      </c>
      <c r="H203" s="2"/>
      <c r="I203" s="2"/>
      <c r="J203" s="2"/>
      <c r="K203" s="2"/>
      <c r="L203" s="99"/>
      <c r="M203" s="251"/>
    </row>
    <row r="204" spans="1:13" ht="15" x14ac:dyDescent="0.5">
      <c r="A204" s="2"/>
      <c r="C204" s="100" t="s">
        <v>546</v>
      </c>
      <c r="D204" s="2"/>
      <c r="E204" s="99">
        <v>215000</v>
      </c>
      <c r="F204" s="100">
        <v>1</v>
      </c>
      <c r="G204" s="101">
        <f t="shared" si="5"/>
        <v>215000</v>
      </c>
      <c r="H204" s="2"/>
      <c r="I204" s="2"/>
      <c r="J204" s="2"/>
      <c r="K204" s="2"/>
      <c r="L204" s="99"/>
      <c r="M204" s="251"/>
    </row>
    <row r="205" spans="1:13" ht="15" x14ac:dyDescent="0.5">
      <c r="A205" s="2"/>
      <c r="C205" s="100" t="s">
        <v>351</v>
      </c>
      <c r="D205" s="2"/>
      <c r="E205" s="99">
        <v>0</v>
      </c>
      <c r="F205" s="100">
        <v>1</v>
      </c>
      <c r="G205" s="101">
        <f t="shared" si="5"/>
        <v>0</v>
      </c>
      <c r="H205" s="2"/>
      <c r="I205" s="2"/>
      <c r="J205" s="2"/>
      <c r="K205" s="2"/>
      <c r="L205" s="2"/>
    </row>
    <row r="206" spans="1:13" ht="15" x14ac:dyDescent="0.5">
      <c r="A206" s="2"/>
      <c r="C206" s="100" t="s">
        <v>351</v>
      </c>
      <c r="D206" s="2"/>
      <c r="E206" s="99">
        <v>0</v>
      </c>
      <c r="F206" s="100">
        <v>1</v>
      </c>
      <c r="G206" s="101">
        <f t="shared" si="5"/>
        <v>0</v>
      </c>
      <c r="H206" s="2"/>
      <c r="I206" s="2"/>
      <c r="J206" s="2"/>
      <c r="K206" s="2"/>
      <c r="L206" s="2"/>
    </row>
    <row r="207" spans="1:13" ht="15" x14ac:dyDescent="0.5">
      <c r="A207" s="2"/>
      <c r="C207" s="100" t="s">
        <v>351</v>
      </c>
      <c r="D207" s="2"/>
      <c r="E207" s="99">
        <v>0</v>
      </c>
      <c r="F207" s="100">
        <v>1</v>
      </c>
      <c r="G207" s="101">
        <f t="shared" si="5"/>
        <v>0</v>
      </c>
      <c r="H207" s="2"/>
      <c r="I207" s="2"/>
      <c r="J207" s="2"/>
      <c r="K207" s="2"/>
      <c r="L207" s="2"/>
    </row>
    <row r="208" spans="1:13" ht="15.3" thickBot="1" x14ac:dyDescent="0.55000000000000004">
      <c r="A208" s="2"/>
      <c r="C208" s="100" t="s">
        <v>351</v>
      </c>
      <c r="D208" s="2"/>
      <c r="E208" s="99">
        <v>0</v>
      </c>
      <c r="F208" s="100">
        <v>1</v>
      </c>
      <c r="G208" s="101">
        <f t="shared" si="4"/>
        <v>0</v>
      </c>
      <c r="H208" s="2"/>
      <c r="I208" s="2"/>
      <c r="J208" s="2"/>
      <c r="K208" s="2"/>
      <c r="L208" s="2"/>
    </row>
    <row r="209" spans="1:12" ht="15" x14ac:dyDescent="0.5">
      <c r="A209" s="2"/>
      <c r="C209" s="4" t="s">
        <v>339</v>
      </c>
      <c r="D209" s="2"/>
      <c r="E209" s="99"/>
      <c r="F209" s="100"/>
      <c r="G209" s="134">
        <f>SUM(G185:G208)</f>
        <v>5463500</v>
      </c>
      <c r="H209" s="2"/>
      <c r="I209" s="2"/>
      <c r="J209" s="2"/>
      <c r="K209" s="2"/>
      <c r="L209" s="2"/>
    </row>
    <row r="210" spans="1:12" ht="15" x14ac:dyDescent="0.5">
      <c r="A210" s="2"/>
      <c r="C210" s="4"/>
      <c r="D210" s="2"/>
      <c r="E210" s="99"/>
      <c r="F210" s="6" t="s">
        <v>262</v>
      </c>
      <c r="G210" s="101">
        <f>SUM(G209/G18)</f>
        <v>7004.4871794871797</v>
      </c>
      <c r="H210" s="2"/>
      <c r="I210" s="2"/>
      <c r="J210" s="2"/>
      <c r="K210" s="2"/>
      <c r="L210" s="2"/>
    </row>
    <row r="211" spans="1:12" ht="16.5" customHeight="1" x14ac:dyDescent="0.5">
      <c r="A211" s="2"/>
      <c r="C211" s="4"/>
      <c r="D211" s="2"/>
      <c r="E211" s="99"/>
      <c r="F211" s="6"/>
      <c r="G211" s="101"/>
      <c r="H211" s="2"/>
      <c r="I211" s="2"/>
      <c r="J211" s="2"/>
      <c r="K211" s="2"/>
      <c r="L211" s="2"/>
    </row>
    <row r="212" spans="1:12" ht="15" x14ac:dyDescent="0.5">
      <c r="A212" s="2"/>
      <c r="B212" s="4" t="s">
        <v>152</v>
      </c>
      <c r="C212" s="2"/>
      <c r="D212" s="2"/>
      <c r="E212" s="2"/>
      <c r="F212" s="2"/>
      <c r="G212" s="101">
        <f>+G166+G172+G182+G209</f>
        <v>33171100</v>
      </c>
      <c r="H212" s="2"/>
      <c r="I212" s="2"/>
      <c r="J212" s="2"/>
      <c r="K212" s="2"/>
      <c r="L212" s="2"/>
    </row>
    <row r="213" spans="1:12" ht="7.5" customHeight="1" x14ac:dyDescent="0.5">
      <c r="A213" s="2"/>
      <c r="B213" s="2"/>
      <c r="C213" s="2"/>
      <c r="D213" s="2"/>
      <c r="E213" s="2"/>
      <c r="F213" s="2"/>
      <c r="G213" s="2"/>
      <c r="H213" s="2" t="s">
        <v>1</v>
      </c>
      <c r="I213" s="2"/>
      <c r="J213" s="2"/>
      <c r="K213" s="2"/>
      <c r="L213" s="2"/>
    </row>
    <row r="214" spans="1:12" ht="15" x14ac:dyDescent="0.5">
      <c r="A214" s="2"/>
      <c r="B214" s="4" t="s">
        <v>311</v>
      </c>
      <c r="C214" s="2"/>
      <c r="D214" s="2"/>
      <c r="E214" s="2"/>
      <c r="F214" s="2"/>
      <c r="G214" s="2"/>
      <c r="H214" s="2"/>
      <c r="I214" s="2"/>
      <c r="J214" s="2"/>
      <c r="K214" s="2"/>
      <c r="L214" s="2"/>
    </row>
    <row r="215" spans="1:12" ht="15" x14ac:dyDescent="0.5">
      <c r="A215" s="2"/>
      <c r="B215" s="2"/>
      <c r="C215" s="2" t="s">
        <v>199</v>
      </c>
      <c r="D215" s="2"/>
      <c r="E215" s="2"/>
      <c r="F215" s="2"/>
      <c r="G215" s="120">
        <v>4</v>
      </c>
      <c r="H215" s="2"/>
      <c r="I215" s="2"/>
      <c r="J215" s="2"/>
      <c r="K215" s="2"/>
      <c r="L215" s="2"/>
    </row>
    <row r="216" spans="1:12" ht="15" x14ac:dyDescent="0.5">
      <c r="A216" s="2"/>
      <c r="B216" s="2"/>
      <c r="C216" s="2" t="s">
        <v>200</v>
      </c>
      <c r="D216" s="2"/>
      <c r="E216" s="2"/>
      <c r="F216" s="2"/>
      <c r="G216" s="107">
        <v>28</v>
      </c>
      <c r="H216" s="2"/>
      <c r="I216" s="2"/>
      <c r="J216" s="2"/>
      <c r="K216" s="2"/>
      <c r="L216" s="2"/>
    </row>
    <row r="217" spans="1:12" ht="7.5" customHeight="1" x14ac:dyDescent="0.5">
      <c r="A217" s="2"/>
      <c r="B217" s="2"/>
      <c r="C217" s="2"/>
      <c r="D217" s="2"/>
      <c r="E217" s="2"/>
      <c r="F217" s="2"/>
      <c r="G217" s="2"/>
      <c r="H217" s="2"/>
      <c r="I217" s="2"/>
      <c r="J217" s="2"/>
      <c r="K217" s="2"/>
      <c r="L217" s="2"/>
    </row>
    <row r="218" spans="1:12" ht="15" x14ac:dyDescent="0.5">
      <c r="A218" s="2"/>
      <c r="B218" s="4" t="s">
        <v>325</v>
      </c>
      <c r="C218" s="2"/>
      <c r="D218" s="2"/>
      <c r="E218" s="2"/>
      <c r="F218" s="2"/>
      <c r="G218" s="2"/>
      <c r="H218" s="2"/>
      <c r="I218" s="2"/>
      <c r="J218" s="2"/>
      <c r="K218" s="2"/>
      <c r="L218" s="2"/>
    </row>
    <row r="219" spans="1:12" ht="15" x14ac:dyDescent="0.5">
      <c r="A219" s="2"/>
      <c r="B219" s="2"/>
      <c r="C219" s="2" t="s">
        <v>313</v>
      </c>
      <c r="D219" s="2"/>
      <c r="E219" s="2"/>
      <c r="F219" s="2"/>
      <c r="G219" s="118">
        <f>G20-G18</f>
        <v>2100</v>
      </c>
      <c r="H219" s="2"/>
      <c r="I219" s="2"/>
      <c r="J219" s="2"/>
      <c r="K219" s="2"/>
      <c r="L219" s="2"/>
    </row>
    <row r="220" spans="1:12" ht="16.5" customHeight="1" x14ac:dyDescent="0.5">
      <c r="A220" s="2"/>
      <c r="B220" s="2"/>
      <c r="C220" s="2" t="s">
        <v>319</v>
      </c>
      <c r="D220" s="2"/>
      <c r="E220" s="2"/>
      <c r="F220" s="2"/>
      <c r="H220" s="2"/>
      <c r="I220" s="2"/>
      <c r="J220" s="2"/>
      <c r="K220" s="2"/>
      <c r="L220" s="2"/>
    </row>
    <row r="221" spans="1:12" ht="15" x14ac:dyDescent="0.5">
      <c r="A221" s="2"/>
      <c r="B221" s="2"/>
      <c r="C221" s="2" t="s">
        <v>320</v>
      </c>
      <c r="D221" s="2"/>
      <c r="E221" s="2"/>
      <c r="F221" s="2"/>
      <c r="G221" s="107">
        <v>25</v>
      </c>
      <c r="H221" s="2"/>
      <c r="I221" s="2"/>
      <c r="J221" s="2"/>
      <c r="K221" s="2"/>
      <c r="L221" s="2"/>
    </row>
    <row r="222" spans="1:12" ht="15" x14ac:dyDescent="0.5">
      <c r="A222" s="2"/>
      <c r="B222" s="2"/>
      <c r="C222" s="2" t="s">
        <v>362</v>
      </c>
      <c r="D222" s="2"/>
      <c r="E222" s="2"/>
      <c r="F222" s="2"/>
      <c r="G222" s="52">
        <f>SUM(Details!E330/2)</f>
        <v>97.777777777777771</v>
      </c>
      <c r="H222" s="2"/>
      <c r="I222" s="2"/>
      <c r="J222" s="2"/>
      <c r="K222" s="2"/>
      <c r="L222" s="2"/>
    </row>
    <row r="223" spans="1:12" ht="15" x14ac:dyDescent="0.5">
      <c r="A223" s="2"/>
      <c r="B223" s="2"/>
      <c r="C223" s="2" t="s">
        <v>363</v>
      </c>
      <c r="D223" s="2"/>
      <c r="E223" s="2"/>
      <c r="F223" s="2"/>
      <c r="G223" s="52">
        <f>SUM(G42*(500))</f>
        <v>13.75</v>
      </c>
      <c r="H223" s="2"/>
      <c r="I223" s="2"/>
      <c r="J223" s="2"/>
      <c r="K223" s="2"/>
      <c r="L223" s="2"/>
    </row>
    <row r="224" spans="1:12" ht="15" x14ac:dyDescent="0.5">
      <c r="A224" s="2"/>
      <c r="B224" s="2"/>
      <c r="C224" s="2" t="s">
        <v>321</v>
      </c>
      <c r="D224" s="2"/>
      <c r="E224" s="2"/>
      <c r="F224" s="2"/>
      <c r="G224" s="52">
        <f>SUM(250/2)*G41</f>
        <v>6.25</v>
      </c>
      <c r="H224" s="2"/>
      <c r="I224" s="2"/>
      <c r="J224" s="2"/>
      <c r="K224" s="2"/>
      <c r="L224" s="2"/>
    </row>
    <row r="225" spans="1:12" ht="15" x14ac:dyDescent="0.5">
      <c r="A225" s="2"/>
      <c r="B225" s="2"/>
      <c r="C225" s="2"/>
      <c r="D225" s="2"/>
      <c r="E225" s="2"/>
      <c r="F225" s="2"/>
      <c r="G225" s="2"/>
      <c r="H225" s="2"/>
      <c r="I225" s="2"/>
      <c r="J225" s="2"/>
      <c r="K225" s="2"/>
      <c r="L225" s="2"/>
    </row>
    <row r="226" spans="1:12" ht="15" x14ac:dyDescent="0.5">
      <c r="A226" s="2"/>
      <c r="B226" s="2"/>
      <c r="C226" s="2"/>
      <c r="D226" s="2"/>
      <c r="E226" s="2"/>
      <c r="F226" s="2"/>
      <c r="G226" s="2"/>
      <c r="H226" s="2"/>
      <c r="I226" s="2"/>
      <c r="J226" s="2"/>
      <c r="K226" s="2"/>
      <c r="L226" s="2"/>
    </row>
    <row r="227" spans="1:12" ht="15" x14ac:dyDescent="0.5">
      <c r="A227" s="2"/>
      <c r="B227" s="2"/>
      <c r="C227" s="2"/>
      <c r="D227" s="2"/>
      <c r="E227" s="2"/>
      <c r="F227" s="2"/>
      <c r="G227" s="2"/>
      <c r="H227" s="2"/>
      <c r="I227" s="2"/>
      <c r="J227" s="2"/>
      <c r="K227" s="2"/>
      <c r="L227" s="2"/>
    </row>
  </sheetData>
  <sheetProtection password="C6A6" sheet="1" objects="1" scenarios="1"/>
  <mergeCells count="11">
    <mergeCell ref="B11:I13"/>
    <mergeCell ref="B10:I10"/>
    <mergeCell ref="B80:C80"/>
    <mergeCell ref="C169:D170"/>
    <mergeCell ref="A1:I1"/>
    <mergeCell ref="B147:H147"/>
    <mergeCell ref="B163:H163"/>
    <mergeCell ref="B4:I4"/>
    <mergeCell ref="B5:I6"/>
    <mergeCell ref="B7:I8"/>
    <mergeCell ref="B9:I9"/>
  </mergeCells>
  <phoneticPr fontId="10" type="noConversion"/>
  <pageMargins left="0.74803149606299213" right="0.74803149606299213" top="0.98425196850393704" bottom="0.98425196850393704" header="0.51181102362204722" footer="0.51181102362204722"/>
  <pageSetup scale="76" firstPageNumber="4" fitToHeight="4" orientation="portrait" useFirstPageNumber="1" verticalDpi="300" r:id="rId1"/>
  <headerFooter scaleWithDoc="0">
    <oddHeader>&amp;L&amp;10Guidelines: Potato Production Costs&amp;R&amp;10&amp;P</oddHeader>
  </headerFooter>
  <ignoredErrors>
    <ignoredError sqref="G169 G12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L430"/>
  <sheetViews>
    <sheetView topLeftCell="A389" zoomScaleNormal="100" workbookViewId="0">
      <selection sqref="A1:I1"/>
    </sheetView>
  </sheetViews>
  <sheetFormatPr defaultColWidth="8.86328125" defaultRowHeight="15" x14ac:dyDescent="0.5"/>
  <cols>
    <col min="1" max="1" width="4.54296875" style="2" customWidth="1"/>
    <col min="2" max="2" width="7" style="2" customWidth="1"/>
    <col min="3" max="3" width="12.76953125" style="2" customWidth="1"/>
    <col min="4" max="4" width="6.08984375" style="2" customWidth="1"/>
    <col min="5" max="5" width="12.453125" style="2" customWidth="1"/>
    <col min="6" max="6" width="3.08984375" style="2" customWidth="1"/>
    <col min="7" max="7" width="13.2265625" style="2" customWidth="1"/>
    <col min="8" max="8" width="11.08984375" style="2" customWidth="1"/>
    <col min="9" max="9" width="11.2265625" style="2" customWidth="1"/>
    <col min="10" max="10" width="10.08984375" style="2" customWidth="1"/>
    <col min="11" max="16384" width="8.86328125" style="2"/>
  </cols>
  <sheetData>
    <row r="1" spans="1:10" ht="17.7" x14ac:dyDescent="0.6">
      <c r="A1" s="279" t="s">
        <v>0</v>
      </c>
      <c r="B1" s="280"/>
      <c r="C1" s="280"/>
      <c r="D1" s="280"/>
      <c r="E1" s="280"/>
      <c r="F1" s="280"/>
      <c r="G1" s="280"/>
      <c r="H1" s="280"/>
      <c r="I1" s="280"/>
    </row>
    <row r="2" spans="1:10" x14ac:dyDescent="0.5">
      <c r="E2" s="4"/>
    </row>
    <row r="3" spans="1:10" x14ac:dyDescent="0.5">
      <c r="A3" s="49" t="str">
        <f>"1."</f>
        <v>1.</v>
      </c>
      <c r="B3" s="276" t="s">
        <v>326</v>
      </c>
      <c r="C3" s="277"/>
      <c r="D3" s="277"/>
      <c r="E3" s="277"/>
      <c r="F3" s="277"/>
      <c r="G3" s="277"/>
      <c r="H3" s="277"/>
      <c r="I3" s="277"/>
    </row>
    <row r="4" spans="1:10" x14ac:dyDescent="0.5">
      <c r="B4" s="277"/>
      <c r="C4" s="277"/>
      <c r="D4" s="277"/>
      <c r="E4" s="277"/>
      <c r="F4" s="277"/>
      <c r="G4" s="277"/>
      <c r="H4" s="277"/>
      <c r="I4" s="277"/>
    </row>
    <row r="6" spans="1:10" x14ac:dyDescent="0.5">
      <c r="A6" s="49" t="str">
        <f>"2."</f>
        <v>2.</v>
      </c>
      <c r="B6" s="278" t="str">
        <f>"A potato land base of "&amp;TEXT(Input!G20,"#,###")&amp;" harvested acres was assumed in developing this budget. The cost of production does not include the cost of maintaining the corners not under irrigation. The crop rotation was based on growing potatoes no more than 1 in "&amp;Input!G19&amp;" years. "</f>
        <v xml:space="preserve">A potato land base of 2,880 harvested acres was assumed in developing this budget. The cost of production does not include the cost of maintaining the corners not under irrigation. The crop rotation was based on growing potatoes no more than 1 in 3 years. </v>
      </c>
      <c r="C6" s="278"/>
      <c r="D6" s="278"/>
      <c r="E6" s="278"/>
      <c r="F6" s="278"/>
      <c r="G6" s="278"/>
      <c r="H6" s="278"/>
      <c r="I6" s="278"/>
      <c r="J6" s="24"/>
    </row>
    <row r="7" spans="1:10" x14ac:dyDescent="0.5">
      <c r="B7" s="278"/>
      <c r="C7" s="278"/>
      <c r="D7" s="278"/>
      <c r="E7" s="278"/>
      <c r="F7" s="278"/>
      <c r="G7" s="278"/>
      <c r="H7" s="278"/>
      <c r="I7" s="278"/>
      <c r="J7" s="24"/>
    </row>
    <row r="8" spans="1:10" x14ac:dyDescent="0.5">
      <c r="B8" s="268"/>
      <c r="C8" s="268"/>
      <c r="D8" s="268"/>
      <c r="E8" s="268"/>
      <c r="F8" s="268"/>
      <c r="G8" s="268"/>
      <c r="H8" s="268"/>
      <c r="I8" s="268"/>
      <c r="J8" s="24"/>
    </row>
    <row r="10" spans="1:10" ht="18" customHeight="1" x14ac:dyDescent="0.5">
      <c r="A10" s="49" t="str">
        <f>"3."</f>
        <v>3.</v>
      </c>
      <c r="B10" s="278" t="str">
        <f>"Total gross yield per acre was estimated at "&amp;Input!D31&amp;" to "&amp;Input!G31&amp;" cwt/acre with marketable yield estimated at "&amp;ROUND(Input!D33,0)&amp;" to "&amp;Input!G33&amp;" cwt/acre."</f>
        <v>Total gross yield per acre was estimated at 325 to 475 cwt/acre with marketable yield estimated at 276 to 404 cwt/acre.</v>
      </c>
      <c r="C10" s="278"/>
      <c r="D10" s="278"/>
      <c r="E10" s="278"/>
      <c r="F10" s="278"/>
      <c r="G10" s="278"/>
      <c r="H10" s="278"/>
      <c r="I10" s="278"/>
      <c r="J10" s="25"/>
    </row>
    <row r="11" spans="1:10" ht="18" customHeight="1" x14ac:dyDescent="0.5">
      <c r="B11" s="278"/>
      <c r="C11" s="278"/>
      <c r="D11" s="278"/>
      <c r="E11" s="278"/>
      <c r="F11" s="278"/>
      <c r="G11" s="278"/>
      <c r="H11" s="278"/>
      <c r="I11" s="278"/>
      <c r="J11" s="25"/>
    </row>
    <row r="12" spans="1:10" ht="18" customHeight="1" x14ac:dyDescent="0.5">
      <c r="B12" s="24"/>
      <c r="C12" s="24"/>
      <c r="D12" s="24"/>
      <c r="E12" s="24"/>
      <c r="F12" s="24"/>
      <c r="G12" s="24"/>
      <c r="H12" s="24"/>
      <c r="I12" s="24"/>
      <c r="J12" s="25"/>
    </row>
    <row r="13" spans="1:10" ht="15" customHeight="1" x14ac:dyDescent="0.5">
      <c r="A13" s="49" t="str">
        <f>"4."</f>
        <v>4.</v>
      </c>
      <c r="B13" s="269" t="s">
        <v>573</v>
      </c>
      <c r="C13" s="268"/>
      <c r="D13" s="268"/>
      <c r="E13" s="268"/>
      <c r="F13" s="268"/>
      <c r="G13" s="268"/>
      <c r="H13" s="268"/>
      <c r="I13" s="268"/>
    </row>
    <row r="15" spans="1:10" x14ac:dyDescent="0.5">
      <c r="A15" s="49" t="str">
        <f>"5."</f>
        <v>5.</v>
      </c>
      <c r="B15" s="267" t="str">
        <f>"All trucking operations related to marketing of processed potatoes were assumed to be custom hauled to the processors. A rate applicable to hauling potatoes approximately 70 miles was assumed. "</f>
        <v xml:space="preserve">All trucking operations related to marketing of processed potatoes were assumed to be custom hauled to the processors. A rate applicable to hauling potatoes approximately 70 miles was assumed. </v>
      </c>
      <c r="C15" s="268"/>
      <c r="D15" s="268"/>
      <c r="E15" s="268"/>
      <c r="F15" s="268"/>
      <c r="G15" s="268"/>
      <c r="H15" s="268"/>
      <c r="I15" s="268"/>
    </row>
    <row r="16" spans="1:10" x14ac:dyDescent="0.5">
      <c r="B16" s="268"/>
      <c r="C16" s="268"/>
      <c r="D16" s="268"/>
      <c r="E16" s="268"/>
      <c r="F16" s="268"/>
      <c r="G16" s="268"/>
      <c r="H16" s="268"/>
      <c r="I16" s="268"/>
    </row>
    <row r="17" spans="1:9" x14ac:dyDescent="0.5">
      <c r="B17" s="268"/>
      <c r="C17" s="268"/>
      <c r="D17" s="268"/>
      <c r="E17" s="268"/>
      <c r="F17" s="268"/>
      <c r="G17" s="268"/>
      <c r="H17" s="268"/>
      <c r="I17" s="268"/>
    </row>
    <row r="19" spans="1:9" ht="21.75" customHeight="1" x14ac:dyDescent="0.5">
      <c r="A19" s="261" t="s">
        <v>130</v>
      </c>
      <c r="B19" s="281"/>
      <c r="C19" s="281"/>
      <c r="D19" s="281"/>
      <c r="E19" s="281"/>
      <c r="F19" s="281"/>
      <c r="G19" s="281"/>
      <c r="H19" s="281"/>
      <c r="I19" s="281"/>
    </row>
    <row r="21" spans="1:9" x14ac:dyDescent="0.5">
      <c r="A21" s="4" t="s">
        <v>150</v>
      </c>
      <c r="I21" s="26" t="s">
        <v>174</v>
      </c>
    </row>
    <row r="23" spans="1:9" x14ac:dyDescent="0.5">
      <c r="B23" s="4" t="s">
        <v>280</v>
      </c>
    </row>
    <row r="24" spans="1:9" x14ac:dyDescent="0.5">
      <c r="C24" s="2" t="s">
        <v>48</v>
      </c>
      <c r="E24" s="27">
        <f>Input!F46</f>
        <v>18</v>
      </c>
      <c r="G24" s="2" t="s">
        <v>63</v>
      </c>
      <c r="I24" s="13"/>
    </row>
    <row r="25" spans="1:9" x14ac:dyDescent="0.5">
      <c r="D25" s="2" t="s">
        <v>64</v>
      </c>
      <c r="E25" s="28">
        <f>Input!E46</f>
        <v>17.5</v>
      </c>
      <c r="F25" s="9"/>
      <c r="G25" s="9" t="s">
        <v>65</v>
      </c>
      <c r="I25" s="14"/>
    </row>
    <row r="26" spans="1:9" x14ac:dyDescent="0.5">
      <c r="D26" s="2" t="s">
        <v>66</v>
      </c>
      <c r="E26" s="16">
        <f>ROUND(E25*E24,2)</f>
        <v>315</v>
      </c>
      <c r="G26" s="2" t="s">
        <v>71</v>
      </c>
      <c r="I26" s="14"/>
    </row>
    <row r="27" spans="1:9" ht="7.5" customHeight="1" x14ac:dyDescent="0.5"/>
    <row r="28" spans="1:9" x14ac:dyDescent="0.5">
      <c r="C28" s="2" t="s">
        <v>67</v>
      </c>
      <c r="E28" s="27">
        <f>Input!F46</f>
        <v>18</v>
      </c>
      <c r="G28" s="2" t="s">
        <v>63</v>
      </c>
      <c r="I28" s="13"/>
    </row>
    <row r="29" spans="1:9" x14ac:dyDescent="0.5">
      <c r="D29" s="2" t="s">
        <v>64</v>
      </c>
      <c r="E29" s="28">
        <f>Input!E47</f>
        <v>2.33</v>
      </c>
      <c r="F29" s="9"/>
      <c r="G29" s="9" t="s">
        <v>65</v>
      </c>
    </row>
    <row r="30" spans="1:9" x14ac:dyDescent="0.5">
      <c r="D30" s="2" t="s">
        <v>66</v>
      </c>
      <c r="E30" s="16">
        <f>ROUND(E28*E29,2)</f>
        <v>41.94</v>
      </c>
      <c r="G30" s="2" t="s">
        <v>71</v>
      </c>
      <c r="I30" s="14"/>
    </row>
    <row r="32" spans="1:9" x14ac:dyDescent="0.5">
      <c r="C32" s="4" t="s">
        <v>39</v>
      </c>
      <c r="D32" s="4" t="s">
        <v>66</v>
      </c>
      <c r="E32" s="18">
        <f>E26+E30</f>
        <v>356.94</v>
      </c>
      <c r="F32" s="4"/>
      <c r="G32" s="4" t="s">
        <v>204</v>
      </c>
    </row>
    <row r="33" spans="2:9" ht="7.5" customHeight="1" x14ac:dyDescent="0.5"/>
    <row r="34" spans="2:9" x14ac:dyDescent="0.5">
      <c r="B34" s="4" t="s">
        <v>385</v>
      </c>
    </row>
    <row r="35" spans="2:9" x14ac:dyDescent="0.5">
      <c r="E35" s="8">
        <f>Input!E48</f>
        <v>2.8</v>
      </c>
      <c r="G35" s="2" t="s">
        <v>195</v>
      </c>
      <c r="I35" s="13"/>
    </row>
    <row r="36" spans="2:9" x14ac:dyDescent="0.5">
      <c r="D36" s="2" t="s">
        <v>75</v>
      </c>
      <c r="E36" s="16">
        <f>Input!E49</f>
        <v>2.33</v>
      </c>
      <c r="G36" s="2" t="s">
        <v>196</v>
      </c>
      <c r="I36" s="13"/>
    </row>
    <row r="37" spans="2:9" x14ac:dyDescent="0.5">
      <c r="D37" s="9" t="s">
        <v>64</v>
      </c>
      <c r="E37" s="29">
        <f>Input!F46</f>
        <v>18</v>
      </c>
      <c r="F37" s="9"/>
      <c r="G37" s="9" t="s">
        <v>63</v>
      </c>
      <c r="I37" s="14"/>
    </row>
    <row r="38" spans="2:9" x14ac:dyDescent="0.5">
      <c r="D38" s="4" t="s">
        <v>66</v>
      </c>
      <c r="E38" s="18">
        <f>ROUND((E35+E36)*E37,2)</f>
        <v>92.34</v>
      </c>
      <c r="F38" s="4"/>
      <c r="G38" s="4" t="s">
        <v>204</v>
      </c>
      <c r="I38" s="14"/>
    </row>
    <row r="39" spans="2:9" ht="7.5" customHeight="1" x14ac:dyDescent="0.5"/>
    <row r="40" spans="2:9" x14ac:dyDescent="0.5">
      <c r="B40" s="4" t="s">
        <v>386</v>
      </c>
    </row>
    <row r="41" spans="2:9" x14ac:dyDescent="0.5">
      <c r="C41" s="2" t="s">
        <v>257</v>
      </c>
      <c r="E41" s="27">
        <f>Input!E55</f>
        <v>105</v>
      </c>
      <c r="G41" s="2" t="s">
        <v>68</v>
      </c>
      <c r="I41" s="13"/>
    </row>
    <row r="42" spans="2:9" x14ac:dyDescent="0.5">
      <c r="D42" s="2" t="s">
        <v>64</v>
      </c>
      <c r="E42" s="31">
        <f>Input!F55</f>
        <v>1.2960000222912</v>
      </c>
      <c r="F42" s="9"/>
      <c r="G42" s="9" t="s">
        <v>69</v>
      </c>
      <c r="I42" s="14"/>
    </row>
    <row r="43" spans="2:9" x14ac:dyDescent="0.5">
      <c r="D43" s="2" t="s">
        <v>66</v>
      </c>
      <c r="E43" s="30">
        <f>ROUND(+E41*E42,2)</f>
        <v>136.08000000000001</v>
      </c>
      <c r="G43" s="2" t="s">
        <v>71</v>
      </c>
      <c r="I43" s="14"/>
    </row>
    <row r="44" spans="2:9" ht="7.5" customHeight="1" x14ac:dyDescent="0.5"/>
    <row r="45" spans="2:9" x14ac:dyDescent="0.5">
      <c r="C45" s="2" t="s">
        <v>229</v>
      </c>
      <c r="E45" s="27">
        <f>Input!E56</f>
        <v>105</v>
      </c>
      <c r="G45" s="2" t="s">
        <v>68</v>
      </c>
      <c r="I45" s="13"/>
    </row>
    <row r="46" spans="2:9" x14ac:dyDescent="0.5">
      <c r="D46" s="2" t="s">
        <v>64</v>
      </c>
      <c r="E46" s="31">
        <f>Input!F56</f>
        <v>1.2819130655271656</v>
      </c>
      <c r="F46" s="9"/>
      <c r="G46" s="9" t="s">
        <v>69</v>
      </c>
      <c r="I46" s="14"/>
    </row>
    <row r="47" spans="2:9" x14ac:dyDescent="0.5">
      <c r="D47" s="2" t="s">
        <v>66</v>
      </c>
      <c r="E47" s="30">
        <f>ROUND(+E45*E46,2)</f>
        <v>134.6</v>
      </c>
      <c r="G47" s="2" t="s">
        <v>71</v>
      </c>
      <c r="I47" s="14"/>
    </row>
    <row r="48" spans="2:9" ht="7.5" customHeight="1" x14ac:dyDescent="0.5"/>
    <row r="49" spans="3:9" x14ac:dyDescent="0.5">
      <c r="C49" s="2" t="s">
        <v>258</v>
      </c>
      <c r="E49" s="27">
        <f>Input!E57</f>
        <v>65</v>
      </c>
      <c r="G49" s="2" t="s">
        <v>68</v>
      </c>
      <c r="I49" s="13"/>
    </row>
    <row r="50" spans="3:9" x14ac:dyDescent="0.5">
      <c r="D50" s="2" t="s">
        <v>64</v>
      </c>
      <c r="E50" s="90">
        <f>Input!F57</f>
        <v>0.88830692064972272</v>
      </c>
      <c r="F50" s="9"/>
      <c r="G50" s="9" t="s">
        <v>69</v>
      </c>
      <c r="I50" s="14"/>
    </row>
    <row r="51" spans="3:9" x14ac:dyDescent="0.5">
      <c r="D51" s="2" t="s">
        <v>66</v>
      </c>
      <c r="E51" s="30">
        <f>ROUND(+E49*E50,2)</f>
        <v>57.74</v>
      </c>
      <c r="G51" s="2" t="s">
        <v>71</v>
      </c>
      <c r="I51" s="14"/>
    </row>
    <row r="52" spans="3:9" ht="7.5" customHeight="1" x14ac:dyDescent="0.5"/>
    <row r="53" spans="3:9" x14ac:dyDescent="0.5">
      <c r="C53" s="2" t="s">
        <v>230</v>
      </c>
      <c r="E53" s="27">
        <f>Input!E58</f>
        <v>45</v>
      </c>
      <c r="G53" s="2" t="s">
        <v>68</v>
      </c>
      <c r="I53" s="13"/>
    </row>
    <row r="54" spans="3:9" x14ac:dyDescent="0.5">
      <c r="D54" s="2" t="s">
        <v>64</v>
      </c>
      <c r="E54" s="90">
        <f>Input!F58</f>
        <v>0.86133613521631913</v>
      </c>
      <c r="F54" s="9"/>
      <c r="G54" s="9" t="s">
        <v>69</v>
      </c>
      <c r="I54" s="14"/>
    </row>
    <row r="55" spans="3:9" x14ac:dyDescent="0.5">
      <c r="D55" s="2" t="s">
        <v>66</v>
      </c>
      <c r="E55" s="30">
        <f>ROUND(+E53*E54,2)</f>
        <v>38.76</v>
      </c>
      <c r="G55" s="2" t="s">
        <v>71</v>
      </c>
      <c r="I55" s="14"/>
    </row>
    <row r="56" spans="3:9" ht="7.5" customHeight="1" x14ac:dyDescent="0.5"/>
    <row r="57" spans="3:9" x14ac:dyDescent="0.5">
      <c r="C57" s="2" t="s">
        <v>70</v>
      </c>
      <c r="E57" s="27">
        <f>Input!E59</f>
        <v>260</v>
      </c>
      <c r="G57" s="2" t="s">
        <v>68</v>
      </c>
      <c r="I57" s="13"/>
    </row>
    <row r="58" spans="3:9" x14ac:dyDescent="0.5">
      <c r="D58" s="2" t="s">
        <v>64</v>
      </c>
      <c r="E58" s="90">
        <f>Input!F59</f>
        <v>0.75600001300320019</v>
      </c>
      <c r="F58" s="9"/>
      <c r="G58" s="9" t="s">
        <v>69</v>
      </c>
      <c r="I58" s="14"/>
    </row>
    <row r="59" spans="3:9" x14ac:dyDescent="0.5">
      <c r="D59" s="2" t="s">
        <v>66</v>
      </c>
      <c r="E59" s="30">
        <f>ROUND(+E57*E58,2)</f>
        <v>196.56</v>
      </c>
      <c r="G59" s="2" t="s">
        <v>71</v>
      </c>
      <c r="I59" s="14"/>
    </row>
    <row r="60" spans="3:9" ht="7.5" customHeight="1" x14ac:dyDescent="0.5"/>
    <row r="61" spans="3:9" x14ac:dyDescent="0.5">
      <c r="C61" s="2" t="s">
        <v>9</v>
      </c>
      <c r="E61" s="27">
        <f>Input!E60</f>
        <v>45</v>
      </c>
      <c r="G61" s="2" t="s">
        <v>68</v>
      </c>
      <c r="I61" s="13"/>
    </row>
    <row r="62" spans="3:9" x14ac:dyDescent="0.5">
      <c r="D62" s="2" t="s">
        <v>64</v>
      </c>
      <c r="E62" s="90">
        <f>Input!F60</f>
        <v>0.50551631304270683</v>
      </c>
      <c r="F62" s="9"/>
      <c r="G62" s="9" t="s">
        <v>69</v>
      </c>
      <c r="I62" s="14"/>
    </row>
    <row r="63" spans="3:9" x14ac:dyDescent="0.5">
      <c r="D63" s="2" t="s">
        <v>66</v>
      </c>
      <c r="E63" s="30">
        <f>ROUND(+E61*E62,2)</f>
        <v>22.75</v>
      </c>
      <c r="G63" s="2" t="s">
        <v>71</v>
      </c>
      <c r="I63" s="14"/>
    </row>
    <row r="64" spans="3:9" ht="7.5" customHeight="1" x14ac:dyDescent="0.5">
      <c r="E64" s="30"/>
    </row>
    <row r="65" spans="2:9" x14ac:dyDescent="0.5">
      <c r="C65" s="2" t="s">
        <v>209</v>
      </c>
      <c r="D65" s="2" t="s">
        <v>66</v>
      </c>
      <c r="E65" s="30">
        <f>Input!G61</f>
        <v>35</v>
      </c>
      <c r="G65" s="2" t="s">
        <v>71</v>
      </c>
      <c r="I65" s="13"/>
    </row>
    <row r="66" spans="2:9" ht="7.5" customHeight="1" x14ac:dyDescent="0.5">
      <c r="E66" s="30"/>
    </row>
    <row r="67" spans="2:9" x14ac:dyDescent="0.5">
      <c r="B67" s="4"/>
      <c r="C67" s="23" t="s">
        <v>39</v>
      </c>
      <c r="D67" s="4" t="s">
        <v>66</v>
      </c>
      <c r="E67" s="32">
        <f>E43+E55+E59+E63+E65+E47+E51</f>
        <v>621.49</v>
      </c>
      <c r="F67" s="4"/>
      <c r="G67" s="4" t="s">
        <v>71</v>
      </c>
      <c r="I67" s="13"/>
    </row>
    <row r="69" spans="2:9" x14ac:dyDescent="0.5">
      <c r="B69" s="4" t="s">
        <v>387</v>
      </c>
    </row>
    <row r="70" spans="2:9" x14ac:dyDescent="0.5">
      <c r="C70" s="2" t="s">
        <v>11</v>
      </c>
      <c r="E70" s="8">
        <f>Input!G67</f>
        <v>9.67</v>
      </c>
      <c r="G70" s="2" t="s">
        <v>71</v>
      </c>
      <c r="I70" s="13"/>
    </row>
    <row r="71" spans="2:9" x14ac:dyDescent="0.5">
      <c r="C71" s="2" t="s">
        <v>12</v>
      </c>
      <c r="E71" s="28">
        <f>Input!G68</f>
        <v>55</v>
      </c>
      <c r="F71" s="9"/>
      <c r="G71" s="9" t="s">
        <v>71</v>
      </c>
      <c r="I71" s="14"/>
    </row>
    <row r="72" spans="2:9" x14ac:dyDescent="0.5">
      <c r="C72" s="6" t="s">
        <v>39</v>
      </c>
      <c r="D72" s="4"/>
      <c r="E72" s="32">
        <f>SUM(E70:E71)</f>
        <v>64.67</v>
      </c>
      <c r="F72" s="4"/>
      <c r="G72" s="4" t="s">
        <v>71</v>
      </c>
      <c r="I72" s="14"/>
    </row>
    <row r="74" spans="2:9" x14ac:dyDescent="0.5">
      <c r="B74" s="4" t="s">
        <v>388</v>
      </c>
      <c r="E74" s="33"/>
    </row>
    <row r="75" spans="2:9" x14ac:dyDescent="0.5">
      <c r="C75" s="2" t="str">
        <f>Input!C71</f>
        <v>Contact Fungicide</v>
      </c>
      <c r="E75" s="2">
        <f>Input!E71</f>
        <v>11</v>
      </c>
      <c r="G75" s="2" t="s">
        <v>131</v>
      </c>
      <c r="I75" s="13"/>
    </row>
    <row r="76" spans="2:9" x14ac:dyDescent="0.5">
      <c r="D76" s="2" t="s">
        <v>64</v>
      </c>
      <c r="E76" s="17">
        <f>Input!F71</f>
        <v>8</v>
      </c>
      <c r="G76" s="2" t="s">
        <v>281</v>
      </c>
      <c r="I76" s="14"/>
    </row>
    <row r="77" spans="2:9" x14ac:dyDescent="0.5">
      <c r="D77" s="2" t="s">
        <v>66</v>
      </c>
      <c r="E77" s="30">
        <f>ROUND((E75*E76),2)</f>
        <v>88</v>
      </c>
      <c r="G77" s="2" t="s">
        <v>71</v>
      </c>
      <c r="I77" s="14"/>
    </row>
    <row r="78" spans="2:9" ht="7.5" customHeight="1" x14ac:dyDescent="0.5"/>
    <row r="79" spans="2:9" x14ac:dyDescent="0.5">
      <c r="C79" s="2" t="str">
        <f>Input!C72</f>
        <v>Systemic Fungicide</v>
      </c>
      <c r="E79" s="2">
        <f>Input!E72</f>
        <v>2</v>
      </c>
      <c r="G79" s="2" t="s">
        <v>131</v>
      </c>
      <c r="I79" s="13"/>
    </row>
    <row r="80" spans="2:9" x14ac:dyDescent="0.5">
      <c r="D80" s="2" t="s">
        <v>64</v>
      </c>
      <c r="E80" s="17">
        <f>Input!F72</f>
        <v>23</v>
      </c>
      <c r="G80" s="2" t="s">
        <v>281</v>
      </c>
      <c r="I80" s="14"/>
    </row>
    <row r="81" spans="2:9" x14ac:dyDescent="0.5">
      <c r="D81" s="2" t="s">
        <v>66</v>
      </c>
      <c r="E81" s="30">
        <f>ROUND((E79*E80),2)</f>
        <v>46</v>
      </c>
      <c r="G81" s="2" t="s">
        <v>71</v>
      </c>
      <c r="I81" s="14"/>
    </row>
    <row r="82" spans="2:9" ht="7.5" customHeight="1" x14ac:dyDescent="0.5"/>
    <row r="83" spans="2:9" x14ac:dyDescent="0.5">
      <c r="C83" s="2" t="str">
        <f>Input!C73</f>
        <v>Phos Acid Fungicide</v>
      </c>
      <c r="E83" s="2">
        <f>Input!E73</f>
        <v>3</v>
      </c>
      <c r="G83" s="2" t="s">
        <v>131</v>
      </c>
      <c r="I83" s="13"/>
    </row>
    <row r="84" spans="2:9" x14ac:dyDescent="0.5">
      <c r="D84" s="2" t="s">
        <v>64</v>
      </c>
      <c r="E84" s="17">
        <f>Input!F73</f>
        <v>31</v>
      </c>
      <c r="G84" s="2" t="s">
        <v>281</v>
      </c>
      <c r="I84" s="14"/>
    </row>
    <row r="85" spans="2:9" x14ac:dyDescent="0.5">
      <c r="D85" s="2" t="s">
        <v>66</v>
      </c>
      <c r="E85" s="30">
        <f>ROUND((E83*E84),2)</f>
        <v>93</v>
      </c>
      <c r="G85" s="2" t="s">
        <v>71</v>
      </c>
      <c r="I85" s="14"/>
    </row>
    <row r="86" spans="2:9" ht="7.5" customHeight="1" x14ac:dyDescent="0.5"/>
    <row r="87" spans="2:9" x14ac:dyDescent="0.5">
      <c r="C87" s="2" t="str">
        <f>Input!C74</f>
        <v>Insecticide</v>
      </c>
      <c r="E87" s="2">
        <f>Input!E74</f>
        <v>1</v>
      </c>
      <c r="G87" s="2" t="s">
        <v>131</v>
      </c>
      <c r="I87" s="13"/>
    </row>
    <row r="88" spans="2:9" x14ac:dyDescent="0.5">
      <c r="D88" s="2" t="s">
        <v>64</v>
      </c>
      <c r="E88" s="17">
        <f>Input!F74</f>
        <v>22</v>
      </c>
      <c r="G88" s="2" t="s">
        <v>281</v>
      </c>
      <c r="I88" s="14"/>
    </row>
    <row r="89" spans="2:9" x14ac:dyDescent="0.5">
      <c r="D89" s="2" t="s">
        <v>66</v>
      </c>
      <c r="E89" s="30">
        <f>ROUND((E87*E88),2)</f>
        <v>22</v>
      </c>
      <c r="G89" s="2" t="s">
        <v>71</v>
      </c>
      <c r="I89" s="14"/>
    </row>
    <row r="90" spans="2:9" ht="7.5" customHeight="1" x14ac:dyDescent="0.5"/>
    <row r="91" spans="2:9" x14ac:dyDescent="0.5">
      <c r="C91" s="6" t="s">
        <v>98</v>
      </c>
      <c r="D91" s="4" t="s">
        <v>66</v>
      </c>
      <c r="E91" s="32">
        <f>E77+E81+E89+E85</f>
        <v>249</v>
      </c>
      <c r="F91" s="4"/>
      <c r="G91" s="4" t="s">
        <v>71</v>
      </c>
      <c r="I91" s="13"/>
    </row>
    <row r="93" spans="2:9" x14ac:dyDescent="0.5">
      <c r="B93" s="4" t="s">
        <v>389</v>
      </c>
    </row>
    <row r="94" spans="2:9" x14ac:dyDescent="0.5">
      <c r="C94" s="2" t="s">
        <v>72</v>
      </c>
      <c r="G94" s="87" t="s">
        <v>19</v>
      </c>
      <c r="H94" s="8">
        <f>Input!G77</f>
        <v>1.1499999999999999</v>
      </c>
      <c r="I94" s="13"/>
    </row>
    <row r="95" spans="2:9" ht="7.5" customHeight="1" x14ac:dyDescent="0.5">
      <c r="G95" s="87"/>
      <c r="H95" s="8"/>
    </row>
    <row r="96" spans="2:9" x14ac:dyDescent="0.5">
      <c r="C96" s="91" t="s">
        <v>20</v>
      </c>
      <c r="D96" s="6" t="s">
        <v>14</v>
      </c>
      <c r="E96" s="6" t="s">
        <v>268</v>
      </c>
      <c r="G96" s="6" t="s">
        <v>268</v>
      </c>
      <c r="H96" s="6" t="s">
        <v>261</v>
      </c>
    </row>
    <row r="97" spans="3:9" x14ac:dyDescent="0.5">
      <c r="C97" s="92" t="s">
        <v>21</v>
      </c>
      <c r="D97" s="7" t="s">
        <v>22</v>
      </c>
      <c r="E97" s="7" t="s">
        <v>270</v>
      </c>
      <c r="G97" s="7" t="s">
        <v>269</v>
      </c>
      <c r="H97" s="7" t="s">
        <v>262</v>
      </c>
    </row>
    <row r="98" spans="3:9" x14ac:dyDescent="0.5">
      <c r="C98" s="2" t="s">
        <v>23</v>
      </c>
      <c r="D98" s="4">
        <f>Input!D81</f>
        <v>0</v>
      </c>
      <c r="E98" s="89">
        <f>Input!E81</f>
        <v>0.75</v>
      </c>
      <c r="G98" s="89">
        <f t="shared" ref="G98:G108" si="0">SUM(E98/4.546)</f>
        <v>0.1649802023757149</v>
      </c>
      <c r="H98" s="52">
        <f t="shared" ref="H98:H108" si="1">SUM($H$94*E98*D98)</f>
        <v>0</v>
      </c>
      <c r="I98" s="13"/>
    </row>
    <row r="99" spans="3:9" x14ac:dyDescent="0.5">
      <c r="C99" s="2" t="s">
        <v>345</v>
      </c>
      <c r="D99" s="4">
        <f>Input!D82</f>
        <v>1</v>
      </c>
      <c r="E99" s="89">
        <f>Input!E82</f>
        <v>4.5999999999999996</v>
      </c>
      <c r="G99" s="89">
        <f t="shared" si="0"/>
        <v>1.0118785745710512</v>
      </c>
      <c r="H99" s="52">
        <f t="shared" si="1"/>
        <v>5.2899999999999991</v>
      </c>
      <c r="I99" s="14"/>
    </row>
    <row r="100" spans="3:9" x14ac:dyDescent="0.5">
      <c r="C100" s="2" t="s">
        <v>24</v>
      </c>
      <c r="D100" s="4">
        <f>Input!D83</f>
        <v>1</v>
      </c>
      <c r="E100" s="89">
        <f>Input!E83</f>
        <v>1.29</v>
      </c>
      <c r="G100" s="89">
        <f t="shared" si="0"/>
        <v>0.28376594808622962</v>
      </c>
      <c r="H100" s="52">
        <f t="shared" si="1"/>
        <v>1.4834999999999998</v>
      </c>
      <c r="I100" s="14"/>
    </row>
    <row r="101" spans="3:9" x14ac:dyDescent="0.5">
      <c r="C101" s="2" t="s">
        <v>25</v>
      </c>
      <c r="D101" s="4">
        <f>Input!D84</f>
        <v>1</v>
      </c>
      <c r="E101" s="89">
        <f>Input!E84</f>
        <v>1.4</v>
      </c>
      <c r="G101" s="89">
        <f t="shared" si="0"/>
        <v>0.30796304443466782</v>
      </c>
      <c r="H101" s="52">
        <f t="shared" si="1"/>
        <v>1.6099999999999999</v>
      </c>
      <c r="I101" s="14"/>
    </row>
    <row r="102" spans="3:9" x14ac:dyDescent="0.5">
      <c r="C102" s="2" t="s">
        <v>26</v>
      </c>
      <c r="D102" s="4">
        <f>Input!D85</f>
        <v>3</v>
      </c>
      <c r="E102" s="89">
        <f>Input!E85</f>
        <v>0.42</v>
      </c>
      <c r="G102" s="89">
        <f t="shared" si="0"/>
        <v>9.2388913330400349E-2</v>
      </c>
      <c r="H102" s="52">
        <f t="shared" si="1"/>
        <v>1.4489999999999998</v>
      </c>
      <c r="I102" s="14"/>
    </row>
    <row r="103" spans="3:9" x14ac:dyDescent="0.5">
      <c r="C103" s="2" t="s">
        <v>24</v>
      </c>
      <c r="D103" s="4">
        <f>Input!D86</f>
        <v>1</v>
      </c>
      <c r="E103" s="89">
        <f>Input!E86</f>
        <v>1.74</v>
      </c>
      <c r="G103" s="89">
        <f t="shared" si="0"/>
        <v>0.38275406951165858</v>
      </c>
      <c r="H103" s="52">
        <f t="shared" si="1"/>
        <v>2.0009999999999999</v>
      </c>
      <c r="I103" s="14"/>
    </row>
    <row r="104" spans="3:9" x14ac:dyDescent="0.5">
      <c r="C104" s="2" t="s">
        <v>27</v>
      </c>
      <c r="D104" s="4">
        <f>Input!D87</f>
        <v>2</v>
      </c>
      <c r="E104" s="89">
        <f>Input!E87</f>
        <v>1.74</v>
      </c>
      <c r="G104" s="89">
        <f t="shared" si="0"/>
        <v>0.38275406951165858</v>
      </c>
      <c r="H104" s="52">
        <f t="shared" si="1"/>
        <v>4.0019999999999998</v>
      </c>
      <c r="I104" s="14"/>
    </row>
    <row r="105" spans="3:9" x14ac:dyDescent="0.5">
      <c r="C105" s="2" t="s">
        <v>28</v>
      </c>
      <c r="D105" s="4">
        <f>Input!D88</f>
        <v>1</v>
      </c>
      <c r="E105" s="89">
        <f>Input!E88</f>
        <v>0.42</v>
      </c>
      <c r="G105" s="89">
        <f t="shared" si="0"/>
        <v>9.2388913330400349E-2</v>
      </c>
      <c r="H105" s="52">
        <f t="shared" si="1"/>
        <v>0.48299999999999993</v>
      </c>
      <c r="I105" s="14"/>
    </row>
    <row r="106" spans="3:9" x14ac:dyDescent="0.5">
      <c r="C106" s="2" t="s">
        <v>29</v>
      </c>
      <c r="D106" s="4">
        <f>Input!D89</f>
        <v>1</v>
      </c>
      <c r="E106" s="89">
        <f>Input!E89</f>
        <v>8.5</v>
      </c>
      <c r="G106" s="89">
        <f t="shared" si="0"/>
        <v>1.869775626924769</v>
      </c>
      <c r="H106" s="52">
        <f t="shared" si="1"/>
        <v>9.7749999999999986</v>
      </c>
      <c r="I106" s="14"/>
    </row>
    <row r="107" spans="3:9" x14ac:dyDescent="0.5">
      <c r="C107" s="2" t="s">
        <v>271</v>
      </c>
      <c r="D107" s="4">
        <f>Input!D90</f>
        <v>1</v>
      </c>
      <c r="E107" s="89">
        <f>Input!E90</f>
        <v>5.75</v>
      </c>
      <c r="G107" s="89">
        <f t="shared" si="0"/>
        <v>1.2648482182138143</v>
      </c>
      <c r="H107" s="52">
        <f t="shared" si="1"/>
        <v>6.6124999999999998</v>
      </c>
      <c r="I107" s="14"/>
    </row>
    <row r="108" spans="3:9" x14ac:dyDescent="0.5">
      <c r="C108" s="2" t="s">
        <v>95</v>
      </c>
      <c r="D108" s="4">
        <f>Input!D91</f>
        <v>1</v>
      </c>
      <c r="E108" s="89">
        <f>Input!E91</f>
        <v>1.85</v>
      </c>
      <c r="G108" s="89">
        <f t="shared" si="0"/>
        <v>0.40695116586009678</v>
      </c>
      <c r="H108" s="88">
        <f t="shared" si="1"/>
        <v>2.1274999999999999</v>
      </c>
      <c r="I108" s="13"/>
    </row>
    <row r="109" spans="3:9" x14ac:dyDescent="0.5">
      <c r="C109" s="5"/>
      <c r="E109" s="5"/>
      <c r="F109" s="5"/>
      <c r="G109" s="5"/>
      <c r="H109" s="52">
        <f>SUM(H98:H108)</f>
        <v>34.833499999999994</v>
      </c>
      <c r="I109" s="13"/>
    </row>
    <row r="111" spans="3:9" x14ac:dyDescent="0.5">
      <c r="C111" s="2" t="s">
        <v>370</v>
      </c>
      <c r="I111" s="6"/>
    </row>
    <row r="112" spans="3:9" x14ac:dyDescent="0.5">
      <c r="C112" s="2" t="str">
        <f>Input!$D$30&amp;" Yield"</f>
        <v>Low Yield</v>
      </c>
      <c r="E112" s="2">
        <f>Input!D31</f>
        <v>325</v>
      </c>
      <c r="G112" s="2" t="s">
        <v>205</v>
      </c>
      <c r="I112" s="13"/>
    </row>
    <row r="113" spans="3:9" x14ac:dyDescent="0.5">
      <c r="D113" s="2" t="s">
        <v>66</v>
      </c>
      <c r="E113" s="33">
        <f>(E112*100)/2000</f>
        <v>16.25</v>
      </c>
      <c r="G113" s="2" t="s">
        <v>206</v>
      </c>
      <c r="I113" s="14"/>
    </row>
    <row r="114" spans="3:9" x14ac:dyDescent="0.5">
      <c r="D114" s="2" t="s">
        <v>73</v>
      </c>
      <c r="E114" s="2">
        <f>Input!$G$94*100/2000</f>
        <v>13.75</v>
      </c>
      <c r="G114" s="2" t="s">
        <v>175</v>
      </c>
      <c r="I114" s="13"/>
    </row>
    <row r="115" spans="3:9" x14ac:dyDescent="0.5">
      <c r="D115" s="2" t="s">
        <v>66</v>
      </c>
      <c r="E115" s="33">
        <f>E113/E114</f>
        <v>1.1818181818181819</v>
      </c>
      <c r="G115" s="2" t="s">
        <v>132</v>
      </c>
      <c r="I115" s="14"/>
    </row>
    <row r="116" spans="3:9" x14ac:dyDescent="0.5">
      <c r="D116" s="2" t="s">
        <v>64</v>
      </c>
      <c r="E116" s="9">
        <f>Input!$G$96</f>
        <v>15</v>
      </c>
      <c r="F116" s="9"/>
      <c r="G116" s="9" t="s">
        <v>197</v>
      </c>
      <c r="I116" s="14"/>
    </row>
    <row r="117" spans="3:9" x14ac:dyDescent="0.5">
      <c r="D117" s="2" t="s">
        <v>66</v>
      </c>
      <c r="E117" s="33">
        <f>E115*E116</f>
        <v>17.727272727272727</v>
      </c>
      <c r="G117" s="2" t="s">
        <v>176</v>
      </c>
      <c r="I117" s="14"/>
    </row>
    <row r="118" spans="3:9" x14ac:dyDescent="0.5">
      <c r="D118" s="2" t="s">
        <v>73</v>
      </c>
      <c r="E118" s="2">
        <f>Input!$G$95</f>
        <v>2.5</v>
      </c>
      <c r="G118" s="2" t="s">
        <v>177</v>
      </c>
      <c r="I118" s="13"/>
    </row>
    <row r="119" spans="3:9" x14ac:dyDescent="0.5">
      <c r="D119" s="2" t="s">
        <v>66</v>
      </c>
      <c r="E119" s="33">
        <f>E117/E118</f>
        <v>7.0909090909090908</v>
      </c>
      <c r="G119" s="2" t="s">
        <v>178</v>
      </c>
      <c r="I119" s="14"/>
    </row>
    <row r="120" spans="3:9" x14ac:dyDescent="0.5">
      <c r="D120" s="2" t="s">
        <v>64</v>
      </c>
      <c r="E120" s="28">
        <f>Input!$G$77</f>
        <v>1.1499999999999999</v>
      </c>
      <c r="F120" s="9"/>
      <c r="G120" s="9" t="s">
        <v>179</v>
      </c>
      <c r="H120" s="9"/>
      <c r="I120" s="14"/>
    </row>
    <row r="121" spans="3:9" x14ac:dyDescent="0.5">
      <c r="D121" s="2" t="s">
        <v>66</v>
      </c>
      <c r="E121" s="30">
        <f>ROUND((E119*4.546)*E120,2)</f>
        <v>37.07</v>
      </c>
      <c r="G121" s="2" t="s">
        <v>180</v>
      </c>
      <c r="I121" s="14"/>
    </row>
    <row r="122" spans="3:9" x14ac:dyDescent="0.5">
      <c r="D122" s="2" t="s">
        <v>75</v>
      </c>
      <c r="E122" s="40">
        <f>$H$109</f>
        <v>34.833499999999994</v>
      </c>
      <c r="G122" s="2" t="s">
        <v>283</v>
      </c>
      <c r="I122" s="13"/>
    </row>
    <row r="123" spans="3:9" x14ac:dyDescent="0.5">
      <c r="D123" s="2" t="s">
        <v>66</v>
      </c>
      <c r="E123" s="30">
        <f>SUM(E121+E122)</f>
        <v>71.903499999999994</v>
      </c>
      <c r="G123" s="2" t="s">
        <v>282</v>
      </c>
      <c r="I123" s="13"/>
    </row>
    <row r="124" spans="3:9" x14ac:dyDescent="0.5">
      <c r="C124" s="6"/>
      <c r="D124" s="2" t="s">
        <v>73</v>
      </c>
      <c r="E124" s="93">
        <f>Input!D33</f>
        <v>276</v>
      </c>
      <c r="G124" s="2" t="s">
        <v>285</v>
      </c>
      <c r="I124" s="13"/>
    </row>
    <row r="125" spans="3:9" x14ac:dyDescent="0.5">
      <c r="C125" s="6" t="s">
        <v>98</v>
      </c>
      <c r="D125" s="4" t="s">
        <v>66</v>
      </c>
      <c r="E125" s="95">
        <f>SUM(E123/E124)</f>
        <v>0.26051992753623188</v>
      </c>
      <c r="F125" s="4"/>
      <c r="G125" s="4" t="s">
        <v>286</v>
      </c>
      <c r="I125" s="14"/>
    </row>
    <row r="126" spans="3:9" ht="6.75" customHeight="1" x14ac:dyDescent="0.5">
      <c r="C126" s="6"/>
      <c r="E126" s="30"/>
    </row>
    <row r="127" spans="3:9" x14ac:dyDescent="0.5">
      <c r="C127" s="2" t="str">
        <f>Input!E30&amp;" Yield"</f>
        <v>Medium Yield</v>
      </c>
      <c r="E127" s="2">
        <f>Input!E31</f>
        <v>375</v>
      </c>
      <c r="G127" s="2" t="s">
        <v>205</v>
      </c>
      <c r="I127" s="13"/>
    </row>
    <row r="128" spans="3:9" x14ac:dyDescent="0.5">
      <c r="D128" s="2" t="s">
        <v>66</v>
      </c>
      <c r="E128" s="33">
        <f>(E127*100)/2000</f>
        <v>18.75</v>
      </c>
      <c r="G128" s="2" t="s">
        <v>206</v>
      </c>
      <c r="I128" s="14"/>
    </row>
    <row r="129" spans="3:9" x14ac:dyDescent="0.5">
      <c r="D129" s="2" t="s">
        <v>73</v>
      </c>
      <c r="E129" s="2">
        <f>Input!$G$94*100/2000</f>
        <v>13.75</v>
      </c>
      <c r="G129" s="2" t="s">
        <v>175</v>
      </c>
      <c r="I129" s="13"/>
    </row>
    <row r="130" spans="3:9" x14ac:dyDescent="0.5">
      <c r="D130" s="2" t="s">
        <v>66</v>
      </c>
      <c r="E130" s="33">
        <f>E128/E129</f>
        <v>1.3636363636363635</v>
      </c>
      <c r="G130" s="2" t="s">
        <v>132</v>
      </c>
      <c r="I130" s="14"/>
    </row>
    <row r="131" spans="3:9" x14ac:dyDescent="0.5">
      <c r="D131" s="2" t="s">
        <v>64</v>
      </c>
      <c r="E131" s="9">
        <f>Input!$G$96</f>
        <v>15</v>
      </c>
      <c r="F131" s="9"/>
      <c r="G131" s="9" t="s">
        <v>197</v>
      </c>
      <c r="I131" s="14"/>
    </row>
    <row r="132" spans="3:9" x14ac:dyDescent="0.5">
      <c r="D132" s="2" t="s">
        <v>66</v>
      </c>
      <c r="E132" s="33">
        <f>E130*E131</f>
        <v>20.454545454545453</v>
      </c>
      <c r="G132" s="2" t="s">
        <v>176</v>
      </c>
      <c r="I132" s="14"/>
    </row>
    <row r="133" spans="3:9" x14ac:dyDescent="0.5">
      <c r="D133" s="2" t="s">
        <v>73</v>
      </c>
      <c r="E133" s="2">
        <f>Input!$G$95</f>
        <v>2.5</v>
      </c>
      <c r="G133" s="2" t="s">
        <v>177</v>
      </c>
      <c r="I133" s="13"/>
    </row>
    <row r="134" spans="3:9" x14ac:dyDescent="0.5">
      <c r="D134" s="2" t="s">
        <v>66</v>
      </c>
      <c r="E134" s="33">
        <f>E132/E133</f>
        <v>8.1818181818181817</v>
      </c>
      <c r="G134" s="2" t="s">
        <v>178</v>
      </c>
      <c r="I134" s="14"/>
    </row>
    <row r="135" spans="3:9" x14ac:dyDescent="0.5">
      <c r="D135" s="2" t="s">
        <v>64</v>
      </c>
      <c r="E135" s="28">
        <f>Input!$G$77</f>
        <v>1.1499999999999999</v>
      </c>
      <c r="F135" s="9"/>
      <c r="G135" s="9" t="s">
        <v>179</v>
      </c>
      <c r="H135" s="9"/>
      <c r="I135" s="14"/>
    </row>
    <row r="136" spans="3:9" x14ac:dyDescent="0.5">
      <c r="D136" s="2" t="s">
        <v>66</v>
      </c>
      <c r="E136" s="30">
        <f>ROUND((E134*4.546)*E135,2)</f>
        <v>42.77</v>
      </c>
      <c r="G136" s="2" t="s">
        <v>180</v>
      </c>
      <c r="I136" s="14"/>
    </row>
    <row r="137" spans="3:9" x14ac:dyDescent="0.5">
      <c r="D137" s="2" t="s">
        <v>75</v>
      </c>
      <c r="E137" s="40">
        <f>$H$109</f>
        <v>34.833499999999994</v>
      </c>
      <c r="G137" s="2" t="s">
        <v>283</v>
      </c>
      <c r="I137" s="13"/>
    </row>
    <row r="138" spans="3:9" x14ac:dyDescent="0.5">
      <c r="C138" s="87"/>
      <c r="D138" s="2" t="s">
        <v>66</v>
      </c>
      <c r="E138" s="30">
        <f>SUM(E136+E137)</f>
        <v>77.603499999999997</v>
      </c>
      <c r="G138" s="2" t="s">
        <v>282</v>
      </c>
      <c r="I138" s="13"/>
    </row>
    <row r="139" spans="3:9" x14ac:dyDescent="0.5">
      <c r="C139" s="6"/>
      <c r="D139" s="2" t="s">
        <v>73</v>
      </c>
      <c r="E139" s="93">
        <f>Input!E33</f>
        <v>319</v>
      </c>
      <c r="G139" s="2" t="s">
        <v>285</v>
      </c>
      <c r="I139" s="13"/>
    </row>
    <row r="140" spans="3:9" x14ac:dyDescent="0.5">
      <c r="C140" s="6" t="s">
        <v>98</v>
      </c>
      <c r="D140" s="4" t="s">
        <v>66</v>
      </c>
      <c r="E140" s="95">
        <f>SUM(E138/E139)</f>
        <v>0.24327115987460815</v>
      </c>
      <c r="F140" s="4"/>
      <c r="G140" s="4" t="s">
        <v>286</v>
      </c>
      <c r="I140" s="14"/>
    </row>
    <row r="141" spans="3:9" ht="6.75" customHeight="1" x14ac:dyDescent="0.5">
      <c r="C141" s="6"/>
      <c r="E141" s="30"/>
    </row>
    <row r="142" spans="3:9" x14ac:dyDescent="0.5">
      <c r="C142" s="2" t="str">
        <f>Input!F30&amp;" Yield"</f>
        <v>Med-High Yield</v>
      </c>
      <c r="E142" s="2">
        <f>Input!F31</f>
        <v>425</v>
      </c>
      <c r="G142" s="2" t="s">
        <v>205</v>
      </c>
      <c r="I142" s="13"/>
    </row>
    <row r="143" spans="3:9" x14ac:dyDescent="0.5">
      <c r="D143" s="2" t="s">
        <v>66</v>
      </c>
      <c r="E143" s="33">
        <f>(E142*100)/2000</f>
        <v>21.25</v>
      </c>
      <c r="G143" s="2" t="s">
        <v>206</v>
      </c>
      <c r="I143" s="14"/>
    </row>
    <row r="144" spans="3:9" x14ac:dyDescent="0.5">
      <c r="D144" s="2" t="s">
        <v>73</v>
      </c>
      <c r="E144" s="2">
        <f>Input!$G$94*100/2000</f>
        <v>13.75</v>
      </c>
      <c r="G144" s="2" t="s">
        <v>175</v>
      </c>
      <c r="I144" s="13"/>
    </row>
    <row r="145" spans="3:9" x14ac:dyDescent="0.5">
      <c r="D145" s="2" t="s">
        <v>66</v>
      </c>
      <c r="E145" s="33">
        <f>E143/E144</f>
        <v>1.5454545454545454</v>
      </c>
      <c r="G145" s="2" t="s">
        <v>132</v>
      </c>
      <c r="I145" s="14"/>
    </row>
    <row r="146" spans="3:9" x14ac:dyDescent="0.5">
      <c r="D146" s="2" t="s">
        <v>64</v>
      </c>
      <c r="E146" s="9">
        <f>Input!$G$96</f>
        <v>15</v>
      </c>
      <c r="F146" s="9"/>
      <c r="G146" s="9" t="s">
        <v>197</v>
      </c>
      <c r="I146" s="14"/>
    </row>
    <row r="147" spans="3:9" x14ac:dyDescent="0.5">
      <c r="D147" s="2" t="s">
        <v>66</v>
      </c>
      <c r="E147" s="33">
        <f>E145*E146</f>
        <v>23.18181818181818</v>
      </c>
      <c r="G147" s="2" t="s">
        <v>176</v>
      </c>
      <c r="I147" s="14"/>
    </row>
    <row r="148" spans="3:9" x14ac:dyDescent="0.5">
      <c r="D148" s="2" t="s">
        <v>73</v>
      </c>
      <c r="E148" s="2">
        <f>Input!$G$95</f>
        <v>2.5</v>
      </c>
      <c r="G148" s="2" t="s">
        <v>177</v>
      </c>
      <c r="I148" s="13"/>
    </row>
    <row r="149" spans="3:9" x14ac:dyDescent="0.5">
      <c r="D149" s="2" t="s">
        <v>66</v>
      </c>
      <c r="E149" s="33">
        <f>E147/E148</f>
        <v>9.2727272727272716</v>
      </c>
      <c r="G149" s="2" t="s">
        <v>178</v>
      </c>
      <c r="I149" s="14"/>
    </row>
    <row r="150" spans="3:9" x14ac:dyDescent="0.5">
      <c r="D150" s="2" t="s">
        <v>64</v>
      </c>
      <c r="E150" s="28">
        <f>Input!$G$77</f>
        <v>1.1499999999999999</v>
      </c>
      <c r="F150" s="9"/>
      <c r="G150" s="9" t="s">
        <v>179</v>
      </c>
      <c r="H150" s="9"/>
      <c r="I150" s="14"/>
    </row>
    <row r="151" spans="3:9" x14ac:dyDescent="0.5">
      <c r="D151" s="2" t="s">
        <v>66</v>
      </c>
      <c r="E151" s="30">
        <f>ROUND((E149*4.546)*E150,2)</f>
        <v>48.48</v>
      </c>
      <c r="G151" s="2" t="s">
        <v>180</v>
      </c>
      <c r="I151" s="14"/>
    </row>
    <row r="152" spans="3:9" x14ac:dyDescent="0.5">
      <c r="D152" s="2" t="s">
        <v>75</v>
      </c>
      <c r="E152" s="40">
        <f>$H$109</f>
        <v>34.833499999999994</v>
      </c>
      <c r="G152" s="2" t="s">
        <v>283</v>
      </c>
      <c r="I152" s="13"/>
    </row>
    <row r="153" spans="3:9" x14ac:dyDescent="0.5">
      <c r="C153" s="87"/>
      <c r="D153" s="2" t="s">
        <v>66</v>
      </c>
      <c r="E153" s="30">
        <f>SUM(E151+E152)</f>
        <v>83.313499999999991</v>
      </c>
      <c r="G153" s="2" t="s">
        <v>282</v>
      </c>
      <c r="I153" s="13"/>
    </row>
    <row r="154" spans="3:9" x14ac:dyDescent="0.5">
      <c r="C154" s="6"/>
      <c r="D154" s="2" t="s">
        <v>73</v>
      </c>
      <c r="E154" s="93">
        <f>Input!F33</f>
        <v>361</v>
      </c>
      <c r="G154" s="2" t="s">
        <v>285</v>
      </c>
      <c r="I154" s="13"/>
    </row>
    <row r="155" spans="3:9" x14ac:dyDescent="0.5">
      <c r="C155" s="6" t="s">
        <v>98</v>
      </c>
      <c r="D155" s="4" t="s">
        <v>66</v>
      </c>
      <c r="E155" s="95">
        <f>SUM(E153/E154)</f>
        <v>0.23078531855955675</v>
      </c>
      <c r="F155" s="4"/>
      <c r="G155" s="4" t="s">
        <v>286</v>
      </c>
      <c r="I155" s="14"/>
    </row>
    <row r="156" spans="3:9" ht="6.75" customHeight="1" x14ac:dyDescent="0.5">
      <c r="C156" s="6"/>
      <c r="E156" s="30"/>
    </row>
    <row r="157" spans="3:9" x14ac:dyDescent="0.5">
      <c r="C157" s="2" t="str">
        <f>Input!G30&amp;" Yield"</f>
        <v>High Yield</v>
      </c>
      <c r="E157" s="2">
        <f>Input!G31</f>
        <v>475</v>
      </c>
      <c r="G157" s="2" t="s">
        <v>205</v>
      </c>
      <c r="I157" s="13"/>
    </row>
    <row r="158" spans="3:9" x14ac:dyDescent="0.5">
      <c r="D158" s="2" t="s">
        <v>66</v>
      </c>
      <c r="E158" s="33">
        <f>(E157*100)/2000</f>
        <v>23.75</v>
      </c>
      <c r="G158" s="2" t="s">
        <v>206</v>
      </c>
      <c r="I158" s="14"/>
    </row>
    <row r="159" spans="3:9" x14ac:dyDescent="0.5">
      <c r="D159" s="2" t="s">
        <v>73</v>
      </c>
      <c r="E159" s="2">
        <f>Input!$G$94*100/2000</f>
        <v>13.75</v>
      </c>
      <c r="G159" s="2" t="s">
        <v>175</v>
      </c>
      <c r="I159" s="13"/>
    </row>
    <row r="160" spans="3:9" x14ac:dyDescent="0.5">
      <c r="D160" s="2" t="s">
        <v>66</v>
      </c>
      <c r="E160" s="33">
        <f>E158/E159</f>
        <v>1.7272727272727273</v>
      </c>
      <c r="G160" s="2" t="s">
        <v>132</v>
      </c>
      <c r="I160" s="14"/>
    </row>
    <row r="161" spans="2:9" x14ac:dyDescent="0.5">
      <c r="D161" s="2" t="s">
        <v>64</v>
      </c>
      <c r="E161" s="9">
        <f>Input!$G$96</f>
        <v>15</v>
      </c>
      <c r="F161" s="9"/>
      <c r="G161" s="9" t="s">
        <v>197</v>
      </c>
      <c r="I161" s="14"/>
    </row>
    <row r="162" spans="2:9" x14ac:dyDescent="0.5">
      <c r="D162" s="2" t="s">
        <v>66</v>
      </c>
      <c r="E162" s="33">
        <f>E160*E161</f>
        <v>25.90909090909091</v>
      </c>
      <c r="G162" s="2" t="s">
        <v>176</v>
      </c>
      <c r="I162" s="14"/>
    </row>
    <row r="163" spans="2:9" x14ac:dyDescent="0.5">
      <c r="D163" s="2" t="s">
        <v>73</v>
      </c>
      <c r="E163" s="2">
        <f>Input!$G$95</f>
        <v>2.5</v>
      </c>
      <c r="G163" s="2" t="s">
        <v>177</v>
      </c>
      <c r="I163" s="13"/>
    </row>
    <row r="164" spans="2:9" x14ac:dyDescent="0.5">
      <c r="D164" s="2" t="s">
        <v>66</v>
      </c>
      <c r="E164" s="33">
        <f>E162/E163</f>
        <v>10.363636363636363</v>
      </c>
      <c r="G164" s="2" t="s">
        <v>178</v>
      </c>
      <c r="I164" s="14"/>
    </row>
    <row r="165" spans="2:9" x14ac:dyDescent="0.5">
      <c r="D165" s="2" t="s">
        <v>64</v>
      </c>
      <c r="E165" s="28">
        <f>Input!$G$77</f>
        <v>1.1499999999999999</v>
      </c>
      <c r="F165" s="9"/>
      <c r="G165" s="9" t="s">
        <v>179</v>
      </c>
      <c r="H165" s="9"/>
      <c r="I165" s="14"/>
    </row>
    <row r="166" spans="2:9" x14ac:dyDescent="0.5">
      <c r="D166" s="2" t="s">
        <v>66</v>
      </c>
      <c r="E166" s="30">
        <f>ROUND((E164*4.546)*E165,2)</f>
        <v>54.18</v>
      </c>
      <c r="G166" s="2" t="s">
        <v>180</v>
      </c>
      <c r="I166" s="14"/>
    </row>
    <row r="167" spans="2:9" x14ac:dyDescent="0.5">
      <c r="D167" s="2" t="s">
        <v>75</v>
      </c>
      <c r="E167" s="40">
        <f>$H$109</f>
        <v>34.833499999999994</v>
      </c>
      <c r="G167" s="2" t="s">
        <v>283</v>
      </c>
      <c r="I167" s="13"/>
    </row>
    <row r="168" spans="2:9" x14ac:dyDescent="0.5">
      <c r="C168" s="87"/>
      <c r="D168" s="2" t="s">
        <v>66</v>
      </c>
      <c r="E168" s="30">
        <f>SUM(E166+E167)</f>
        <v>89.013499999999993</v>
      </c>
      <c r="G168" s="2" t="s">
        <v>282</v>
      </c>
      <c r="I168" s="13"/>
    </row>
    <row r="169" spans="2:9" x14ac:dyDescent="0.5">
      <c r="C169" s="6"/>
      <c r="D169" s="2" t="s">
        <v>73</v>
      </c>
      <c r="E169" s="93">
        <f>Input!G33</f>
        <v>404</v>
      </c>
      <c r="G169" s="2" t="s">
        <v>285</v>
      </c>
    </row>
    <row r="170" spans="2:9" x14ac:dyDescent="0.5">
      <c r="C170" s="6" t="s">
        <v>98</v>
      </c>
      <c r="D170" s="4" t="s">
        <v>66</v>
      </c>
      <c r="E170" s="95">
        <f>SUM(E168/E169)</f>
        <v>0.22033044554455444</v>
      </c>
      <c r="F170" s="4"/>
      <c r="G170" s="4" t="s">
        <v>286</v>
      </c>
      <c r="I170" s="13"/>
    </row>
    <row r="171" spans="2:9" ht="7.5" customHeight="1" x14ac:dyDescent="0.5">
      <c r="C171" s="6"/>
      <c r="E171" s="30"/>
    </row>
    <row r="172" spans="2:9" x14ac:dyDescent="0.5">
      <c r="B172" s="4"/>
      <c r="C172" s="6" t="s">
        <v>190</v>
      </c>
      <c r="D172" s="4" t="s">
        <v>66</v>
      </c>
      <c r="E172" s="32">
        <f>SUM((E123*Input!D32)+(E138*Input!E32)+(Details!E153*Input!F32)+(Details!E168*Input!G32))</f>
        <v>83.882499999999993</v>
      </c>
      <c r="F172" s="4"/>
      <c r="G172" s="4" t="s">
        <v>204</v>
      </c>
      <c r="I172" s="13"/>
    </row>
    <row r="174" spans="2:9" x14ac:dyDescent="0.5">
      <c r="B174" s="4" t="s">
        <v>390</v>
      </c>
    </row>
    <row r="175" spans="2:9" x14ac:dyDescent="0.5">
      <c r="C175" s="2" t="str">
        <f>Input!$D$30&amp;" Yield"</f>
        <v>Low Yield</v>
      </c>
      <c r="E175" s="2">
        <f>Input!$D$33</f>
        <v>276</v>
      </c>
      <c r="G175" s="2" t="s">
        <v>287</v>
      </c>
      <c r="I175" s="13"/>
    </row>
    <row r="176" spans="2:9" x14ac:dyDescent="0.5">
      <c r="D176" s="2" t="s">
        <v>64</v>
      </c>
      <c r="E176" s="28">
        <f>Input!$G$99-Input!$G$100</f>
        <v>0.74</v>
      </c>
      <c r="F176" s="9"/>
      <c r="G176" s="9" t="s">
        <v>133</v>
      </c>
      <c r="H176" s="9"/>
      <c r="I176" s="14"/>
    </row>
    <row r="177" spans="2:9" x14ac:dyDescent="0.5">
      <c r="D177" s="4" t="s">
        <v>66</v>
      </c>
      <c r="E177" s="32">
        <f>ROUND(+E175*E176,2)</f>
        <v>204.24</v>
      </c>
      <c r="F177" s="4"/>
      <c r="G177" s="4" t="s">
        <v>204</v>
      </c>
      <c r="I177" s="14"/>
    </row>
    <row r="178" spans="2:9" x14ac:dyDescent="0.5">
      <c r="C178" s="2" t="str">
        <f>Input!$E$30&amp;" Yield"</f>
        <v>Medium Yield</v>
      </c>
      <c r="E178" s="2">
        <f>Input!E33</f>
        <v>319</v>
      </c>
      <c r="G178" s="2" t="s">
        <v>287</v>
      </c>
      <c r="I178" s="13"/>
    </row>
    <row r="179" spans="2:9" x14ac:dyDescent="0.5">
      <c r="D179" s="2" t="s">
        <v>64</v>
      </c>
      <c r="E179" s="28">
        <f>Input!$G$99-Input!$G$100</f>
        <v>0.74</v>
      </c>
      <c r="F179" s="9"/>
      <c r="G179" s="9" t="s">
        <v>133</v>
      </c>
      <c r="H179" s="9"/>
      <c r="I179" s="14"/>
    </row>
    <row r="180" spans="2:9" x14ac:dyDescent="0.5">
      <c r="D180" s="4" t="s">
        <v>66</v>
      </c>
      <c r="E180" s="32">
        <f>ROUND(+E178*E179,2)</f>
        <v>236.06</v>
      </c>
      <c r="F180" s="4"/>
      <c r="G180" s="4" t="s">
        <v>204</v>
      </c>
      <c r="I180" s="14"/>
    </row>
    <row r="181" spans="2:9" x14ac:dyDescent="0.5">
      <c r="C181" s="2" t="str">
        <f>Input!$F$30&amp;" Yield"</f>
        <v>Med-High Yield</v>
      </c>
      <c r="E181" s="2">
        <f>Input!F33</f>
        <v>361</v>
      </c>
      <c r="G181" s="2" t="s">
        <v>287</v>
      </c>
      <c r="I181" s="13"/>
    </row>
    <row r="182" spans="2:9" x14ac:dyDescent="0.5">
      <c r="D182" s="2" t="s">
        <v>64</v>
      </c>
      <c r="E182" s="28">
        <f>Input!$G$99-Input!$G$100</f>
        <v>0.74</v>
      </c>
      <c r="F182" s="9"/>
      <c r="G182" s="9" t="s">
        <v>133</v>
      </c>
      <c r="H182" s="9"/>
      <c r="I182" s="14"/>
    </row>
    <row r="183" spans="2:9" x14ac:dyDescent="0.5">
      <c r="D183" s="4" t="s">
        <v>66</v>
      </c>
      <c r="E183" s="32">
        <f>ROUND(+E181*E182,2)</f>
        <v>267.14</v>
      </c>
      <c r="F183" s="4"/>
      <c r="G183" s="4" t="s">
        <v>204</v>
      </c>
      <c r="I183" s="14"/>
    </row>
    <row r="184" spans="2:9" x14ac:dyDescent="0.5">
      <c r="C184" s="2" t="str">
        <f>Input!$G$30&amp;" Yield"</f>
        <v>High Yield</v>
      </c>
      <c r="E184" s="2">
        <f>Input!G33</f>
        <v>404</v>
      </c>
      <c r="G184" s="2" t="s">
        <v>287</v>
      </c>
      <c r="I184" s="13"/>
    </row>
    <row r="185" spans="2:9" x14ac:dyDescent="0.5">
      <c r="D185" s="2" t="s">
        <v>64</v>
      </c>
      <c r="E185" s="28">
        <f>Input!$G$99-Input!$G$100</f>
        <v>0.74</v>
      </c>
      <c r="F185" s="9"/>
      <c r="G185" s="9" t="s">
        <v>133</v>
      </c>
      <c r="H185" s="9"/>
      <c r="I185" s="14"/>
    </row>
    <row r="186" spans="2:9" x14ac:dyDescent="0.5">
      <c r="D186" s="4" t="s">
        <v>66</v>
      </c>
      <c r="E186" s="32">
        <f>ROUND(+E184*E185,2)</f>
        <v>298.95999999999998</v>
      </c>
      <c r="F186" s="4"/>
      <c r="G186" s="4" t="s">
        <v>204</v>
      </c>
      <c r="I186" s="14"/>
    </row>
    <row r="187" spans="2:9" ht="7.5" customHeight="1" x14ac:dyDescent="0.5">
      <c r="D187" s="4"/>
      <c r="E187" s="32"/>
      <c r="F187" s="4"/>
      <c r="G187" s="4"/>
      <c r="I187" s="13"/>
    </row>
    <row r="188" spans="2:9" x14ac:dyDescent="0.5">
      <c r="B188" s="4"/>
      <c r="C188" s="6" t="s">
        <v>288</v>
      </c>
      <c r="D188" s="4" t="s">
        <v>66</v>
      </c>
      <c r="E188" s="32">
        <f>SUM((E177*Input!D32)+(Details!E180*Input!E32)+(Details!E183*Input!F32)+(Details!E186*Input!G32))</f>
        <v>270.39599999999996</v>
      </c>
      <c r="F188" s="4"/>
      <c r="G188" s="4" t="s">
        <v>204</v>
      </c>
      <c r="I188" s="13"/>
    </row>
    <row r="190" spans="2:9" x14ac:dyDescent="0.5">
      <c r="B190" s="4" t="s">
        <v>391</v>
      </c>
    </row>
    <row r="191" spans="2:9" x14ac:dyDescent="0.5">
      <c r="C191" s="2" t="s">
        <v>159</v>
      </c>
      <c r="E191" s="2">
        <f>Input!G104</f>
        <v>72</v>
      </c>
      <c r="G191" s="2" t="s">
        <v>135</v>
      </c>
      <c r="I191" s="14"/>
    </row>
    <row r="192" spans="2:9" x14ac:dyDescent="0.5">
      <c r="D192" s="2" t="s">
        <v>66</v>
      </c>
      <c r="E192" s="2">
        <f>E191/0.75</f>
        <v>96</v>
      </c>
      <c r="G192" s="2" t="s">
        <v>136</v>
      </c>
      <c r="I192" s="14"/>
    </row>
    <row r="193" spans="2:9" x14ac:dyDescent="0.5">
      <c r="D193" s="2" t="s">
        <v>64</v>
      </c>
      <c r="E193" s="2">
        <f>Input!G103</f>
        <v>12</v>
      </c>
      <c r="G193" s="2" t="s">
        <v>134</v>
      </c>
      <c r="I193" s="13"/>
    </row>
    <row r="194" spans="2:9" x14ac:dyDescent="0.5">
      <c r="D194" s="2" t="s">
        <v>66</v>
      </c>
      <c r="E194" s="2">
        <f>SUM(E192*E193)</f>
        <v>1152</v>
      </c>
      <c r="G194" s="2" t="s">
        <v>289</v>
      </c>
      <c r="I194" s="13"/>
    </row>
    <row r="195" spans="2:9" x14ac:dyDescent="0.5">
      <c r="D195" s="2" t="s">
        <v>64</v>
      </c>
      <c r="E195" s="8">
        <f>Input!G106</f>
        <v>6.2</v>
      </c>
      <c r="G195" s="2" t="s">
        <v>137</v>
      </c>
      <c r="I195" s="13"/>
    </row>
    <row r="196" spans="2:9" x14ac:dyDescent="0.5">
      <c r="D196" s="2" t="s">
        <v>64</v>
      </c>
      <c r="E196" s="2">
        <f>SUM(Input!G16*Input!G105)</f>
        <v>4.1999999999999993</v>
      </c>
      <c r="G196" s="2" t="s">
        <v>138</v>
      </c>
      <c r="I196" s="14"/>
    </row>
    <row r="197" spans="2:9" x14ac:dyDescent="0.5">
      <c r="D197" s="2" t="s">
        <v>73</v>
      </c>
      <c r="E197" s="29">
        <f>SUM(Input!G17*Details!E196)</f>
        <v>545.99999999999989</v>
      </c>
      <c r="F197" s="9"/>
      <c r="G197" s="9" t="s">
        <v>120</v>
      </c>
      <c r="H197" s="9"/>
      <c r="I197" s="14"/>
    </row>
    <row r="198" spans="2:9" x14ac:dyDescent="0.5">
      <c r="D198" s="2" t="s">
        <v>66</v>
      </c>
      <c r="E198" s="30">
        <f>IF(E196=0,0,ROUND((((E192*E193)*E195)*E196)/E197,2))</f>
        <v>54.94</v>
      </c>
      <c r="G198" s="2" t="s">
        <v>204</v>
      </c>
      <c r="I198" s="14"/>
    </row>
    <row r="199" spans="2:9" x14ac:dyDescent="0.5">
      <c r="C199" s="2" t="s">
        <v>290</v>
      </c>
      <c r="E199" s="2">
        <f>Input!G104</f>
        <v>72</v>
      </c>
      <c r="G199" s="2" t="s">
        <v>135</v>
      </c>
      <c r="I199" s="14"/>
    </row>
    <row r="200" spans="2:9" x14ac:dyDescent="0.5">
      <c r="D200" s="2" t="s">
        <v>66</v>
      </c>
      <c r="E200" s="2">
        <f>E199/0.75</f>
        <v>96</v>
      </c>
      <c r="G200" s="2" t="s">
        <v>136</v>
      </c>
      <c r="I200" s="14"/>
    </row>
    <row r="201" spans="2:9" x14ac:dyDescent="0.5">
      <c r="D201" s="2" t="s">
        <v>64</v>
      </c>
      <c r="E201" s="2">
        <f>Input!G103</f>
        <v>12</v>
      </c>
      <c r="G201" s="2" t="s">
        <v>134</v>
      </c>
      <c r="I201" s="13"/>
    </row>
    <row r="202" spans="2:9" x14ac:dyDescent="0.5">
      <c r="D202" s="2" t="s">
        <v>66</v>
      </c>
      <c r="E202" s="2">
        <f>SUM(E200*E201)</f>
        <v>1152</v>
      </c>
      <c r="G202" s="2" t="s">
        <v>289</v>
      </c>
      <c r="I202" s="13"/>
    </row>
    <row r="203" spans="2:9" x14ac:dyDescent="0.5">
      <c r="D203" s="2" t="s">
        <v>64</v>
      </c>
      <c r="E203" s="8">
        <f>Input!G108</f>
        <v>10.65</v>
      </c>
      <c r="G203" s="2" t="s">
        <v>137</v>
      </c>
      <c r="I203" s="13"/>
    </row>
    <row r="204" spans="2:9" x14ac:dyDescent="0.5">
      <c r="D204" s="2" t="s">
        <v>64</v>
      </c>
      <c r="E204" s="2">
        <f>SUM(Input!G16*Input!G107)</f>
        <v>1.7999999999999998</v>
      </c>
      <c r="G204" s="2" t="s">
        <v>138</v>
      </c>
      <c r="I204" s="14"/>
    </row>
    <row r="205" spans="2:9" x14ac:dyDescent="0.5">
      <c r="D205" s="2" t="s">
        <v>73</v>
      </c>
      <c r="E205" s="29">
        <f>SUM(Input!G17*Details!E204)</f>
        <v>233.99999999999997</v>
      </c>
      <c r="F205" s="9"/>
      <c r="G205" s="9" t="s">
        <v>120</v>
      </c>
      <c r="H205" s="9"/>
      <c r="I205" s="14"/>
    </row>
    <row r="206" spans="2:9" x14ac:dyDescent="0.5">
      <c r="D206" s="2" t="s">
        <v>66</v>
      </c>
      <c r="E206" s="30">
        <f>IF(E204=0,0,ROUND((((E200*E201)*E203)*E204)/E205,2))</f>
        <v>94.38</v>
      </c>
      <c r="G206" s="2" t="s">
        <v>204</v>
      </c>
      <c r="I206" s="14"/>
    </row>
    <row r="207" spans="2:9" x14ac:dyDescent="0.5">
      <c r="B207" s="4"/>
      <c r="C207" s="6" t="s">
        <v>288</v>
      </c>
      <c r="D207" s="4" t="s">
        <v>66</v>
      </c>
      <c r="E207" s="32">
        <f>SUM((E206*Input!G107)+(E198*Input!G105))</f>
        <v>66.771999999999991</v>
      </c>
      <c r="F207" s="4"/>
      <c r="G207" s="4" t="s">
        <v>204</v>
      </c>
      <c r="I207" s="13"/>
    </row>
    <row r="209" spans="2:9" x14ac:dyDescent="0.5">
      <c r="B209" s="4" t="s">
        <v>392</v>
      </c>
    </row>
    <row r="210" spans="2:9" x14ac:dyDescent="0.5">
      <c r="E210" s="34">
        <f>Input!F111</f>
        <v>390640.24999999994</v>
      </c>
      <c r="G210" s="2" t="s">
        <v>74</v>
      </c>
      <c r="I210" s="13"/>
    </row>
    <row r="211" spans="2:9" x14ac:dyDescent="0.5">
      <c r="D211" s="2" t="s">
        <v>75</v>
      </c>
      <c r="E211" s="34">
        <f>Input!F112</f>
        <v>98280.000000000015</v>
      </c>
      <c r="G211" s="2" t="s">
        <v>76</v>
      </c>
      <c r="I211" s="14"/>
    </row>
    <row r="212" spans="2:9" x14ac:dyDescent="0.5">
      <c r="D212" s="9" t="s">
        <v>75</v>
      </c>
      <c r="E212" s="35">
        <f>Input!F113</f>
        <v>25578.000000000004</v>
      </c>
      <c r="F212" s="9"/>
      <c r="G212" s="9" t="s">
        <v>210</v>
      </c>
      <c r="I212" s="14"/>
    </row>
    <row r="213" spans="2:9" x14ac:dyDescent="0.5">
      <c r="D213" s="2" t="s">
        <v>66</v>
      </c>
      <c r="E213" s="34">
        <f>SUM(E210:E212)</f>
        <v>514498.24999999994</v>
      </c>
      <c r="G213" s="2" t="s">
        <v>77</v>
      </c>
      <c r="I213" s="14"/>
    </row>
    <row r="214" spans="2:9" x14ac:dyDescent="0.5">
      <c r="D214" s="2" t="s">
        <v>73</v>
      </c>
      <c r="E214" s="29">
        <f>Input!G18</f>
        <v>780</v>
      </c>
      <c r="F214" s="9"/>
      <c r="G214" s="9" t="s">
        <v>120</v>
      </c>
      <c r="H214" s="9"/>
      <c r="I214" s="14"/>
    </row>
    <row r="215" spans="2:9" x14ac:dyDescent="0.5">
      <c r="D215" s="4" t="s">
        <v>66</v>
      </c>
      <c r="E215" s="32">
        <f>ROUND(+E213/E214,2)</f>
        <v>659.61</v>
      </c>
      <c r="F215" s="4"/>
      <c r="G215" s="4" t="s">
        <v>202</v>
      </c>
      <c r="I215" s="14"/>
    </row>
    <row r="217" spans="2:9" x14ac:dyDescent="0.5">
      <c r="B217" s="4" t="s">
        <v>35</v>
      </c>
    </row>
    <row r="218" spans="2:9" x14ac:dyDescent="0.5">
      <c r="E218" s="137">
        <f>Input!E116</f>
        <v>14</v>
      </c>
      <c r="G218" s="2" t="s">
        <v>354</v>
      </c>
      <c r="I218" s="14"/>
    </row>
    <row r="219" spans="2:9" x14ac:dyDescent="0.5">
      <c r="D219" s="9" t="s">
        <v>64</v>
      </c>
      <c r="E219" s="96">
        <f>Input!F116</f>
        <v>10</v>
      </c>
      <c r="F219" s="9"/>
      <c r="G219" s="9" t="s">
        <v>295</v>
      </c>
      <c r="I219" s="14"/>
    </row>
    <row r="220" spans="2:9" x14ac:dyDescent="0.5">
      <c r="D220" s="2" t="s">
        <v>66</v>
      </c>
      <c r="E220" s="136">
        <f>SUM(E218*E219)</f>
        <v>140</v>
      </c>
      <c r="G220" s="2" t="s">
        <v>296</v>
      </c>
      <c r="I220" s="14"/>
    </row>
    <row r="221" spans="2:9" x14ac:dyDescent="0.5">
      <c r="E221" s="137">
        <f>Input!E117</f>
        <v>2</v>
      </c>
      <c r="G221" s="2" t="s">
        <v>354</v>
      </c>
      <c r="I221" s="14"/>
    </row>
    <row r="222" spans="2:9" x14ac:dyDescent="0.5">
      <c r="D222" s="9" t="s">
        <v>64</v>
      </c>
      <c r="E222" s="96">
        <f>Input!F117</f>
        <v>9.5</v>
      </c>
      <c r="F222" s="9"/>
      <c r="G222" s="9" t="s">
        <v>295</v>
      </c>
      <c r="I222" s="14"/>
    </row>
    <row r="223" spans="2:9" x14ac:dyDescent="0.5">
      <c r="D223" s="2" t="s">
        <v>66</v>
      </c>
      <c r="E223" s="136">
        <f>SUM(E221*E222)</f>
        <v>19</v>
      </c>
      <c r="G223" s="2" t="s">
        <v>296</v>
      </c>
      <c r="I223" s="14"/>
    </row>
    <row r="224" spans="2:9" x14ac:dyDescent="0.5">
      <c r="C224" s="6" t="s">
        <v>288</v>
      </c>
      <c r="D224" s="4" t="s">
        <v>66</v>
      </c>
      <c r="E224" s="97">
        <f>SUM(E223+E220)</f>
        <v>159</v>
      </c>
      <c r="F224" s="4"/>
      <c r="G224" s="4" t="s">
        <v>204</v>
      </c>
      <c r="I224" s="14"/>
    </row>
    <row r="226" spans="2:9" x14ac:dyDescent="0.5">
      <c r="B226" s="4" t="s">
        <v>393</v>
      </c>
    </row>
    <row r="227" spans="2:9" x14ac:dyDescent="0.5">
      <c r="E227" s="34">
        <f>Input!E120</f>
        <v>16</v>
      </c>
      <c r="G227" s="2" t="s">
        <v>199</v>
      </c>
      <c r="I227" s="14"/>
    </row>
    <row r="228" spans="2:9" x14ac:dyDescent="0.5">
      <c r="D228" s="2" t="s">
        <v>64</v>
      </c>
      <c r="E228" s="96">
        <f>Input!F120</f>
        <v>28</v>
      </c>
      <c r="F228" s="9"/>
      <c r="G228" s="9" t="s">
        <v>295</v>
      </c>
      <c r="I228" s="14"/>
    </row>
    <row r="229" spans="2:9" x14ac:dyDescent="0.5">
      <c r="D229" s="4" t="s">
        <v>66</v>
      </c>
      <c r="E229" s="97">
        <f>SUM(E227*E228)</f>
        <v>448</v>
      </c>
      <c r="F229" s="4"/>
      <c r="G229" s="4" t="s">
        <v>296</v>
      </c>
      <c r="I229" s="14"/>
    </row>
    <row r="231" spans="2:9" x14ac:dyDescent="0.5">
      <c r="B231" s="4" t="s">
        <v>394</v>
      </c>
      <c r="C231" s="4"/>
    </row>
    <row r="232" spans="2:9" x14ac:dyDescent="0.5">
      <c r="E232" s="34">
        <f>Input!G126</f>
        <v>0</v>
      </c>
      <c r="G232" s="2" t="s">
        <v>96</v>
      </c>
    </row>
    <row r="233" spans="2:9" x14ac:dyDescent="0.5">
      <c r="D233" s="2" t="s">
        <v>75</v>
      </c>
      <c r="E233" s="34">
        <f>Input!G125</f>
        <v>42931.199999999997</v>
      </c>
      <c r="G233" s="2" t="s">
        <v>78</v>
      </c>
      <c r="I233" s="13"/>
    </row>
    <row r="234" spans="2:9" x14ac:dyDescent="0.5">
      <c r="D234" s="2" t="s">
        <v>75</v>
      </c>
      <c r="E234" s="34">
        <f>Input!G128</f>
        <v>5250</v>
      </c>
      <c r="G234" s="2" t="s">
        <v>399</v>
      </c>
      <c r="I234" s="14"/>
    </row>
    <row r="235" spans="2:9" x14ac:dyDescent="0.5">
      <c r="D235" s="2" t="s">
        <v>75</v>
      </c>
      <c r="E235" s="34">
        <f>Input!G129</f>
        <v>5250</v>
      </c>
      <c r="G235" s="2" t="s">
        <v>400</v>
      </c>
      <c r="I235" s="14"/>
    </row>
    <row r="236" spans="2:9" x14ac:dyDescent="0.5">
      <c r="D236" s="2" t="s">
        <v>75</v>
      </c>
      <c r="E236" s="35">
        <f>Input!G127</f>
        <v>29196.699999999997</v>
      </c>
      <c r="G236" s="9" t="s">
        <v>371</v>
      </c>
      <c r="I236" s="14"/>
    </row>
    <row r="237" spans="2:9" x14ac:dyDescent="0.5">
      <c r="D237" s="2" t="s">
        <v>66</v>
      </c>
      <c r="E237" s="34">
        <f>SUM(E232:E236)</f>
        <v>82627.899999999994</v>
      </c>
      <c r="G237" s="2" t="s">
        <v>79</v>
      </c>
      <c r="I237" s="14"/>
    </row>
    <row r="238" spans="2:9" x14ac:dyDescent="0.5">
      <c r="D238" s="2" t="s">
        <v>73</v>
      </c>
      <c r="E238" s="29">
        <f>Input!G18</f>
        <v>780</v>
      </c>
      <c r="F238" s="9"/>
      <c r="G238" s="9" t="s">
        <v>120</v>
      </c>
      <c r="H238" s="9"/>
      <c r="I238" s="14"/>
    </row>
    <row r="239" spans="2:9" x14ac:dyDescent="0.5">
      <c r="D239" s="4" t="s">
        <v>66</v>
      </c>
      <c r="E239" s="32">
        <f>ROUND(+E237/E238,2)</f>
        <v>105.93</v>
      </c>
      <c r="F239" s="4"/>
      <c r="G239" s="4" t="s">
        <v>71</v>
      </c>
      <c r="I239" s="98"/>
    </row>
    <row r="240" spans="2:9" x14ac:dyDescent="0.5">
      <c r="B240" s="4" t="s">
        <v>299</v>
      </c>
      <c r="E240" s="34"/>
      <c r="I240" s="13"/>
    </row>
    <row r="241" spans="3:9" x14ac:dyDescent="0.5">
      <c r="C241" s="4" t="str">
        <f>Input!$D$30&amp;" Yield"</f>
        <v>Low Yield</v>
      </c>
      <c r="E241" s="2">
        <f>Input!D33</f>
        <v>276</v>
      </c>
      <c r="G241" s="2" t="s">
        <v>205</v>
      </c>
      <c r="I241" s="13"/>
    </row>
    <row r="242" spans="3:9" x14ac:dyDescent="0.5">
      <c r="D242" s="2" t="s">
        <v>64</v>
      </c>
      <c r="E242" s="16">
        <f>Input!$G$131</f>
        <v>13.75</v>
      </c>
      <c r="G242" s="2" t="s">
        <v>298</v>
      </c>
      <c r="I242" s="14"/>
    </row>
    <row r="243" spans="3:9" x14ac:dyDescent="0.5">
      <c r="D243" s="2" t="s">
        <v>64</v>
      </c>
      <c r="E243" s="36">
        <f>Input!$G$130</f>
        <v>5.0000000000000001E-3</v>
      </c>
      <c r="G243" s="2" t="s">
        <v>97</v>
      </c>
      <c r="I243" s="13"/>
    </row>
    <row r="244" spans="3:9" x14ac:dyDescent="0.5">
      <c r="D244" s="2" t="s">
        <v>66</v>
      </c>
      <c r="E244" s="16">
        <f>E241*E242*E243</f>
        <v>18.975000000000001</v>
      </c>
      <c r="G244" s="2" t="s">
        <v>291</v>
      </c>
      <c r="I244" s="14"/>
    </row>
    <row r="245" spans="3:9" x14ac:dyDescent="0.5">
      <c r="C245" s="6"/>
      <c r="D245" s="2" t="s">
        <v>73</v>
      </c>
      <c r="E245" s="93">
        <f>Input!D33</f>
        <v>276</v>
      </c>
      <c r="G245" s="2" t="s">
        <v>285</v>
      </c>
      <c r="I245" s="13"/>
    </row>
    <row r="246" spans="3:9" x14ac:dyDescent="0.5">
      <c r="C246" s="87" t="s">
        <v>98</v>
      </c>
      <c r="D246" s="2" t="s">
        <v>66</v>
      </c>
      <c r="E246" s="94">
        <f>SUM(E244/E245)</f>
        <v>6.8750000000000006E-2</v>
      </c>
      <c r="G246" s="2" t="s">
        <v>286</v>
      </c>
      <c r="I246" s="14"/>
    </row>
    <row r="247" spans="3:9" ht="6.75" customHeight="1" x14ac:dyDescent="0.5">
      <c r="C247" s="6"/>
      <c r="E247" s="30"/>
    </row>
    <row r="248" spans="3:9" x14ac:dyDescent="0.5">
      <c r="C248" s="4" t="str">
        <f>Input!E30&amp;" Yield"</f>
        <v>Medium Yield</v>
      </c>
      <c r="E248" s="2">
        <f>Input!E33</f>
        <v>319</v>
      </c>
      <c r="G248" s="2" t="s">
        <v>205</v>
      </c>
      <c r="I248" s="13"/>
    </row>
    <row r="249" spans="3:9" x14ac:dyDescent="0.5">
      <c r="D249" s="2" t="s">
        <v>64</v>
      </c>
      <c r="E249" s="16">
        <f>Input!$G$131</f>
        <v>13.75</v>
      </c>
      <c r="G249" s="2" t="s">
        <v>298</v>
      </c>
      <c r="I249" s="14"/>
    </row>
    <row r="250" spans="3:9" x14ac:dyDescent="0.5">
      <c r="D250" s="2" t="s">
        <v>64</v>
      </c>
      <c r="E250" s="36">
        <f>Input!$G$130</f>
        <v>5.0000000000000001E-3</v>
      </c>
      <c r="G250" s="2" t="s">
        <v>97</v>
      </c>
      <c r="I250" s="13"/>
    </row>
    <row r="251" spans="3:9" x14ac:dyDescent="0.5">
      <c r="D251" s="2" t="s">
        <v>66</v>
      </c>
      <c r="E251" s="16">
        <f>E248*E249*E250</f>
        <v>21.931250000000002</v>
      </c>
      <c r="G251" s="2" t="s">
        <v>291</v>
      </c>
      <c r="I251" s="14"/>
    </row>
    <row r="252" spans="3:9" x14ac:dyDescent="0.5">
      <c r="C252" s="6"/>
      <c r="D252" s="2" t="s">
        <v>73</v>
      </c>
      <c r="E252" s="93">
        <f>Input!E33</f>
        <v>319</v>
      </c>
      <c r="G252" s="2" t="s">
        <v>285</v>
      </c>
      <c r="I252" s="13"/>
    </row>
    <row r="253" spans="3:9" x14ac:dyDescent="0.5">
      <c r="C253" s="87" t="s">
        <v>98</v>
      </c>
      <c r="D253" s="2" t="s">
        <v>66</v>
      </c>
      <c r="E253" s="94">
        <f>SUM(E251/E252)</f>
        <v>6.8750000000000006E-2</v>
      </c>
      <c r="G253" s="2" t="s">
        <v>286</v>
      </c>
      <c r="I253" s="14"/>
    </row>
    <row r="254" spans="3:9" ht="6.75" customHeight="1" x14ac:dyDescent="0.5">
      <c r="C254" s="6"/>
      <c r="E254" s="30"/>
    </row>
    <row r="255" spans="3:9" x14ac:dyDescent="0.5">
      <c r="C255" s="4" t="str">
        <f>Input!F30&amp;" Yield"</f>
        <v>Med-High Yield</v>
      </c>
      <c r="E255" s="2">
        <f>Input!F33</f>
        <v>361</v>
      </c>
      <c r="G255" s="2" t="s">
        <v>205</v>
      </c>
      <c r="I255" s="13"/>
    </row>
    <row r="256" spans="3:9" x14ac:dyDescent="0.5">
      <c r="D256" s="2" t="s">
        <v>64</v>
      </c>
      <c r="E256" s="16">
        <f>Input!$G$131</f>
        <v>13.75</v>
      </c>
      <c r="G256" s="2" t="s">
        <v>298</v>
      </c>
      <c r="I256" s="14"/>
    </row>
    <row r="257" spans="2:9" x14ac:dyDescent="0.5">
      <c r="D257" s="2" t="s">
        <v>64</v>
      </c>
      <c r="E257" s="36">
        <f>Input!$G$130</f>
        <v>5.0000000000000001E-3</v>
      </c>
      <c r="G257" s="2" t="s">
        <v>97</v>
      </c>
      <c r="I257" s="13"/>
    </row>
    <row r="258" spans="2:9" x14ac:dyDescent="0.5">
      <c r="D258" s="2" t="s">
        <v>66</v>
      </c>
      <c r="E258" s="16">
        <f>E255*E256*E257</f>
        <v>24.818750000000001</v>
      </c>
      <c r="G258" s="2" t="s">
        <v>291</v>
      </c>
      <c r="I258" s="14"/>
    </row>
    <row r="259" spans="2:9" x14ac:dyDescent="0.5">
      <c r="C259" s="6"/>
      <c r="D259" s="2" t="s">
        <v>73</v>
      </c>
      <c r="E259" s="93">
        <f>Input!F33</f>
        <v>361</v>
      </c>
      <c r="G259" s="2" t="s">
        <v>285</v>
      </c>
      <c r="I259" s="13"/>
    </row>
    <row r="260" spans="2:9" x14ac:dyDescent="0.5">
      <c r="C260" s="87" t="s">
        <v>98</v>
      </c>
      <c r="D260" s="2" t="s">
        <v>66</v>
      </c>
      <c r="E260" s="94">
        <f>SUM(E258/E259)</f>
        <v>6.8750000000000006E-2</v>
      </c>
      <c r="G260" s="2" t="s">
        <v>286</v>
      </c>
      <c r="I260" s="14"/>
    </row>
    <row r="261" spans="2:9" ht="6.75" customHeight="1" x14ac:dyDescent="0.5">
      <c r="C261" s="6"/>
      <c r="E261" s="30"/>
    </row>
    <row r="262" spans="2:9" x14ac:dyDescent="0.5">
      <c r="C262" s="4" t="str">
        <f>Input!G30&amp;" Yield"</f>
        <v>High Yield</v>
      </c>
      <c r="E262" s="2">
        <f>Input!G33</f>
        <v>404</v>
      </c>
      <c r="G262" s="2" t="s">
        <v>205</v>
      </c>
      <c r="I262" s="13"/>
    </row>
    <row r="263" spans="2:9" x14ac:dyDescent="0.5">
      <c r="D263" s="2" t="s">
        <v>64</v>
      </c>
      <c r="E263" s="16">
        <f>Input!$G$131</f>
        <v>13.75</v>
      </c>
      <c r="G263" s="2" t="s">
        <v>298</v>
      </c>
      <c r="I263" s="14"/>
    </row>
    <row r="264" spans="2:9" x14ac:dyDescent="0.5">
      <c r="D264" s="2" t="s">
        <v>64</v>
      </c>
      <c r="E264" s="36">
        <f>Input!$G$130</f>
        <v>5.0000000000000001E-3</v>
      </c>
      <c r="G264" s="2" t="s">
        <v>97</v>
      </c>
      <c r="I264" s="13"/>
    </row>
    <row r="265" spans="2:9" x14ac:dyDescent="0.5">
      <c r="D265" s="2" t="s">
        <v>66</v>
      </c>
      <c r="E265" s="16">
        <f>E262*E263*E264</f>
        <v>27.775000000000002</v>
      </c>
      <c r="G265" s="2" t="s">
        <v>291</v>
      </c>
      <c r="I265" s="14"/>
    </row>
    <row r="266" spans="2:9" x14ac:dyDescent="0.5">
      <c r="C266" s="6"/>
      <c r="D266" s="2" t="s">
        <v>73</v>
      </c>
      <c r="E266" s="93">
        <f>Input!G33</f>
        <v>404</v>
      </c>
      <c r="G266" s="2" t="s">
        <v>285</v>
      </c>
      <c r="I266" s="13"/>
    </row>
    <row r="267" spans="2:9" x14ac:dyDescent="0.5">
      <c r="C267" s="87" t="s">
        <v>98</v>
      </c>
      <c r="D267" s="2" t="s">
        <v>66</v>
      </c>
      <c r="E267" s="94">
        <f>SUM(E265/E266)</f>
        <v>6.8750000000000006E-2</v>
      </c>
      <c r="G267" s="2" t="s">
        <v>286</v>
      </c>
      <c r="I267" s="14"/>
    </row>
    <row r="268" spans="2:9" ht="7.5" customHeight="1" x14ac:dyDescent="0.5">
      <c r="C268" s="6"/>
      <c r="E268" s="30"/>
    </row>
    <row r="269" spans="2:9" x14ac:dyDescent="0.5">
      <c r="B269" s="4"/>
      <c r="C269" s="6" t="s">
        <v>300</v>
      </c>
      <c r="D269" s="4" t="s">
        <v>66</v>
      </c>
      <c r="E269" s="32">
        <f>SUM((E239+E244)*Input!D32)+((E239+E251)*Input!E32)+((Details!E239+Details!E258)*Input!F32)+((Details!E239+Details!E265)*Input!G32)</f>
        <v>131.05125000000001</v>
      </c>
      <c r="F269" s="4"/>
      <c r="G269" s="4" t="s">
        <v>204</v>
      </c>
      <c r="I269" s="13"/>
    </row>
    <row r="271" spans="2:9" x14ac:dyDescent="0.5">
      <c r="B271" s="4" t="s">
        <v>41</v>
      </c>
    </row>
    <row r="272" spans="2:9" x14ac:dyDescent="0.5">
      <c r="E272" s="34">
        <f>Input!G134</f>
        <v>90000</v>
      </c>
      <c r="G272" s="2" t="s">
        <v>80</v>
      </c>
      <c r="I272" s="13"/>
    </row>
    <row r="273" spans="2:9" x14ac:dyDescent="0.5">
      <c r="D273" s="2" t="s">
        <v>75</v>
      </c>
      <c r="E273" s="35">
        <f>Input!G135</f>
        <v>7920</v>
      </c>
      <c r="G273" s="9" t="s">
        <v>81</v>
      </c>
      <c r="I273" s="14"/>
    </row>
    <row r="274" spans="2:9" x14ac:dyDescent="0.5">
      <c r="D274" s="2" t="s">
        <v>66</v>
      </c>
      <c r="E274" s="34">
        <f>SUM(E272:E273)</f>
        <v>97920</v>
      </c>
      <c r="G274" s="2" t="s">
        <v>82</v>
      </c>
      <c r="I274" s="14"/>
    </row>
    <row r="275" spans="2:9" x14ac:dyDescent="0.5">
      <c r="D275" s="2" t="s">
        <v>73</v>
      </c>
      <c r="E275" s="29">
        <f>Input!G18</f>
        <v>780</v>
      </c>
      <c r="F275" s="9"/>
      <c r="G275" s="9" t="s">
        <v>120</v>
      </c>
      <c r="H275" s="9"/>
      <c r="I275" s="14"/>
    </row>
    <row r="276" spans="2:9" x14ac:dyDescent="0.5">
      <c r="D276" s="4" t="s">
        <v>66</v>
      </c>
      <c r="E276" s="32">
        <f>ROUND(+E274/E275,2)</f>
        <v>125.54</v>
      </c>
      <c r="F276" s="4"/>
      <c r="G276" s="4" t="s">
        <v>204</v>
      </c>
      <c r="I276" s="14"/>
    </row>
    <row r="277" spans="2:9" x14ac:dyDescent="0.5">
      <c r="D277" s="4"/>
      <c r="E277" s="32"/>
      <c r="F277" s="4"/>
      <c r="G277" s="4"/>
    </row>
    <row r="278" spans="2:9" x14ac:dyDescent="0.5">
      <c r="B278" s="4" t="s">
        <v>183</v>
      </c>
    </row>
    <row r="279" spans="2:9" x14ac:dyDescent="0.5">
      <c r="E279" s="34">
        <f>Input!G139</f>
        <v>7000</v>
      </c>
      <c r="G279" s="2" t="s">
        <v>83</v>
      </c>
      <c r="I279" s="13"/>
    </row>
    <row r="280" spans="2:9" x14ac:dyDescent="0.5">
      <c r="D280" s="2" t="s">
        <v>75</v>
      </c>
      <c r="E280" s="34">
        <f>Input!G140</f>
        <v>2000</v>
      </c>
      <c r="G280" s="2" t="s">
        <v>122</v>
      </c>
      <c r="I280" s="14"/>
    </row>
    <row r="281" spans="2:9" x14ac:dyDescent="0.5">
      <c r="D281" s="2" t="s">
        <v>75</v>
      </c>
      <c r="E281" s="34">
        <f>Input!G141</f>
        <v>31200</v>
      </c>
      <c r="G281" s="2" t="s">
        <v>213</v>
      </c>
      <c r="I281" s="14"/>
    </row>
    <row r="282" spans="2:9" x14ac:dyDescent="0.5">
      <c r="D282" s="2" t="s">
        <v>75</v>
      </c>
      <c r="E282" s="34">
        <f>Input!G142</f>
        <v>24255</v>
      </c>
      <c r="G282" s="2" t="s">
        <v>84</v>
      </c>
      <c r="I282" s="14"/>
    </row>
    <row r="283" spans="2:9" x14ac:dyDescent="0.5">
      <c r="D283" s="2" t="s">
        <v>75</v>
      </c>
      <c r="E283" s="34">
        <f>Input!G143</f>
        <v>23490</v>
      </c>
      <c r="G283" s="2" t="s">
        <v>365</v>
      </c>
      <c r="I283" s="14"/>
    </row>
    <row r="284" spans="2:9" x14ac:dyDescent="0.5">
      <c r="D284" s="2" t="s">
        <v>75</v>
      </c>
      <c r="E284" s="34">
        <f>Input!G144</f>
        <v>2100</v>
      </c>
      <c r="G284" s="2" t="s">
        <v>85</v>
      </c>
      <c r="I284" s="14"/>
    </row>
    <row r="285" spans="2:9" x14ac:dyDescent="0.5">
      <c r="D285" s="2" t="s">
        <v>75</v>
      </c>
      <c r="E285" s="35">
        <f>Input!G145</f>
        <v>2100</v>
      </c>
      <c r="G285" s="9" t="s">
        <v>86</v>
      </c>
      <c r="I285" s="14"/>
    </row>
    <row r="286" spans="2:9" x14ac:dyDescent="0.5">
      <c r="D286" s="2" t="s">
        <v>66</v>
      </c>
      <c r="E286" s="34">
        <f>SUM(E279:E285)</f>
        <v>92145</v>
      </c>
      <c r="G286" s="2" t="s">
        <v>372</v>
      </c>
      <c r="I286" s="14"/>
    </row>
    <row r="287" spans="2:9" x14ac:dyDescent="0.5">
      <c r="D287" s="2" t="s">
        <v>73</v>
      </c>
      <c r="E287" s="29">
        <f>Input!G18</f>
        <v>780</v>
      </c>
      <c r="F287" s="9"/>
      <c r="G287" s="9" t="s">
        <v>120</v>
      </c>
      <c r="H287" s="9"/>
      <c r="I287" s="14"/>
    </row>
    <row r="288" spans="2:9" x14ac:dyDescent="0.5">
      <c r="D288" s="4" t="s">
        <v>66</v>
      </c>
      <c r="E288" s="32">
        <f>ROUND(+E286/E287,2)</f>
        <v>118.13</v>
      </c>
      <c r="F288" s="4"/>
      <c r="G288" s="4" t="s">
        <v>204</v>
      </c>
      <c r="H288" s="4"/>
      <c r="I288" s="14"/>
    </row>
    <row r="290" spans="1:9" x14ac:dyDescent="0.5">
      <c r="B290" s="4" t="s">
        <v>395</v>
      </c>
    </row>
    <row r="291" spans="1:9" x14ac:dyDescent="0.5">
      <c r="B291" s="4"/>
      <c r="C291" s="2" t="s">
        <v>87</v>
      </c>
    </row>
    <row r="292" spans="1:9" x14ac:dyDescent="0.5">
      <c r="C292" s="2" t="s">
        <v>88</v>
      </c>
    </row>
    <row r="293" spans="1:9" x14ac:dyDescent="0.5">
      <c r="E293" s="8">
        <f>Summary!D19</f>
        <v>3446.8217500000001</v>
      </c>
      <c r="G293" s="2" t="s">
        <v>123</v>
      </c>
      <c r="I293" s="13"/>
    </row>
    <row r="294" spans="1:9" x14ac:dyDescent="0.5">
      <c r="D294" s="2" t="s">
        <v>73</v>
      </c>
      <c r="E294" s="27">
        <v>2</v>
      </c>
      <c r="G294" s="2" t="s">
        <v>113</v>
      </c>
      <c r="I294" s="14"/>
    </row>
    <row r="295" spans="1:9" x14ac:dyDescent="0.5">
      <c r="D295" s="2" t="s">
        <v>66</v>
      </c>
      <c r="E295" s="30">
        <f>E293/2</f>
        <v>1723.410875</v>
      </c>
      <c r="G295" s="2" t="s">
        <v>114</v>
      </c>
      <c r="I295" s="14"/>
    </row>
    <row r="296" spans="1:9" x14ac:dyDescent="0.5">
      <c r="D296" s="2" t="s">
        <v>64</v>
      </c>
      <c r="E296" s="36">
        <f>Input!G41</f>
        <v>0.05</v>
      </c>
      <c r="F296" s="9"/>
      <c r="G296" s="9" t="s">
        <v>124</v>
      </c>
      <c r="H296" s="9"/>
      <c r="I296" s="14"/>
    </row>
    <row r="297" spans="1:9" x14ac:dyDescent="0.5">
      <c r="D297" s="4" t="s">
        <v>66</v>
      </c>
      <c r="E297" s="32">
        <f>E295*E296</f>
        <v>86.170543750000007</v>
      </c>
      <c r="F297" s="4"/>
      <c r="G297" s="4" t="s">
        <v>204</v>
      </c>
      <c r="I297" s="14"/>
    </row>
    <row r="300" spans="1:9" x14ac:dyDescent="0.5">
      <c r="A300" s="286" t="s">
        <v>151</v>
      </c>
      <c r="B300" s="287"/>
      <c r="C300" s="287"/>
      <c r="D300" s="287"/>
      <c r="E300" s="287"/>
      <c r="F300" s="287"/>
      <c r="G300" s="287"/>
      <c r="H300" s="287"/>
      <c r="I300" s="287"/>
    </row>
    <row r="302" spans="1:9" x14ac:dyDescent="0.5">
      <c r="B302" s="4" t="s">
        <v>43</v>
      </c>
      <c r="H302" s="2" t="s">
        <v>1</v>
      </c>
    </row>
    <row r="303" spans="1:9" x14ac:dyDescent="0.5">
      <c r="B303" s="2" t="str">
        <f xml:space="preserve"> "  Own land "&amp;TEXT(Input!G23,"#,###")&amp;" ac. @ "&amp;TEXT(Input!G24,"$#,###")&amp;"/ac"</f>
        <v xml:space="preserve">  Own land 2,560 ac. @ $8,000/ac</v>
      </c>
      <c r="H303" s="138">
        <f>Input!G23*Input!G24</f>
        <v>20480000</v>
      </c>
      <c r="I303" s="13"/>
    </row>
    <row r="305" spans="1:12" x14ac:dyDescent="0.5">
      <c r="B305" s="4" t="str">
        <f>"Storage Facilities ("&amp;TEXT(Input!E169,"#,###")&amp;" cwt @ "&amp;TEXT(Input!F169,"$0.00")&amp;" per cwt)"</f>
        <v>Storage Facilities (312,000 cwt @ $18.00 per cwt)</v>
      </c>
    </row>
    <row r="306" spans="1:12" x14ac:dyDescent="0.5">
      <c r="C306" s="2" t="s">
        <v>317</v>
      </c>
      <c r="H306" s="121">
        <f>Input!G169</f>
        <v>5616000</v>
      </c>
      <c r="I306" s="13"/>
    </row>
    <row r="307" spans="1:12" x14ac:dyDescent="0.5">
      <c r="C307" s="2" t="s">
        <v>208</v>
      </c>
      <c r="H307" s="122">
        <f>Input!G171</f>
        <v>150000</v>
      </c>
      <c r="I307" s="13"/>
    </row>
    <row r="308" spans="1:12" x14ac:dyDescent="0.5">
      <c r="C308" s="4" t="s">
        <v>44</v>
      </c>
      <c r="H308" s="121">
        <f>SUM(H306:H307)</f>
        <v>5766000</v>
      </c>
      <c r="I308" s="14"/>
    </row>
    <row r="310" spans="1:12" x14ac:dyDescent="0.5">
      <c r="B310" s="4" t="s">
        <v>45</v>
      </c>
    </row>
    <row r="311" spans="1:12" s="1" customFormat="1" x14ac:dyDescent="0.5">
      <c r="A311" s="2"/>
      <c r="B311" s="2"/>
      <c r="C311" s="2" t="s">
        <v>185</v>
      </c>
      <c r="D311" s="2"/>
      <c r="E311" s="99"/>
      <c r="F311" s="100"/>
      <c r="G311" s="101"/>
      <c r="H311" s="101">
        <f>Input!G175</f>
        <v>83300</v>
      </c>
      <c r="I311" s="13"/>
      <c r="J311" s="2"/>
      <c r="K311" s="2"/>
      <c r="L311" s="2"/>
    </row>
    <row r="312" spans="1:12" s="1" customFormat="1" x14ac:dyDescent="0.5">
      <c r="A312" s="2"/>
      <c r="B312" s="2"/>
      <c r="C312" s="2" t="s">
        <v>186</v>
      </c>
      <c r="D312" s="2"/>
      <c r="E312" s="102"/>
      <c r="F312" s="100"/>
      <c r="G312" s="101"/>
      <c r="H312" s="101">
        <f>Input!G176</f>
        <v>50500</v>
      </c>
      <c r="I312" s="13"/>
      <c r="J312" s="2"/>
      <c r="K312" s="2"/>
      <c r="L312" s="2"/>
    </row>
    <row r="313" spans="1:12" s="1" customFormat="1" x14ac:dyDescent="0.5">
      <c r="A313" s="2"/>
      <c r="B313" s="2"/>
      <c r="C313" s="2" t="s">
        <v>303</v>
      </c>
      <c r="D313" s="2"/>
      <c r="E313" s="102"/>
      <c r="F313" s="100"/>
      <c r="G313" s="101"/>
      <c r="H313" s="101">
        <f>Input!G177</f>
        <v>56400</v>
      </c>
      <c r="I313" s="13"/>
      <c r="J313" s="2"/>
      <c r="K313" s="2"/>
      <c r="L313" s="2"/>
    </row>
    <row r="314" spans="1:12" s="1" customFormat="1" x14ac:dyDescent="0.5">
      <c r="A314" s="2"/>
      <c r="B314" s="2"/>
      <c r="C314" s="2" t="s">
        <v>304</v>
      </c>
      <c r="D314" s="2"/>
      <c r="E314" s="102"/>
      <c r="F314" s="100"/>
      <c r="G314" s="101"/>
      <c r="H314" s="101">
        <f>Input!G178</f>
        <v>0</v>
      </c>
      <c r="I314" s="13"/>
      <c r="J314" s="2"/>
      <c r="K314" s="2"/>
      <c r="L314" s="2"/>
    </row>
    <row r="315" spans="1:12" s="1" customFormat="1" x14ac:dyDescent="0.5">
      <c r="A315" s="2"/>
      <c r="B315" s="2"/>
      <c r="C315" s="2" t="s">
        <v>302</v>
      </c>
      <c r="D315" s="2"/>
      <c r="E315" s="102"/>
      <c r="F315" s="100"/>
      <c r="G315" s="101"/>
      <c r="H315" s="101">
        <f>Input!G179</f>
        <v>135600</v>
      </c>
      <c r="I315" s="13"/>
      <c r="J315" s="2"/>
      <c r="K315" s="2"/>
      <c r="L315" s="2"/>
    </row>
    <row r="316" spans="1:12" s="1" customFormat="1" x14ac:dyDescent="0.5">
      <c r="A316" s="2"/>
      <c r="B316" s="2"/>
      <c r="C316" s="2" t="s">
        <v>305</v>
      </c>
      <c r="D316" s="2"/>
      <c r="E316" s="102"/>
      <c r="F316" s="4"/>
      <c r="G316" s="101"/>
      <c r="H316" s="101">
        <f>Input!G180</f>
        <v>168000</v>
      </c>
      <c r="I316" s="13"/>
      <c r="J316" s="2"/>
      <c r="K316" s="2"/>
      <c r="L316" s="2"/>
    </row>
    <row r="317" spans="1:12" s="1" customFormat="1" x14ac:dyDescent="0.5">
      <c r="A317" s="2"/>
      <c r="B317" s="2"/>
      <c r="C317" s="2" t="s">
        <v>187</v>
      </c>
      <c r="D317" s="2"/>
      <c r="E317" s="99"/>
      <c r="F317" s="4"/>
      <c r="G317" s="103"/>
      <c r="H317" s="103">
        <f>Input!G181</f>
        <v>967800</v>
      </c>
      <c r="I317" s="2"/>
      <c r="J317" s="2"/>
      <c r="K317" s="2"/>
      <c r="L317" s="2"/>
    </row>
    <row r="318" spans="1:12" x14ac:dyDescent="0.5">
      <c r="C318" s="4" t="s">
        <v>46</v>
      </c>
      <c r="H318" s="121">
        <f>SUM(H311:H317)</f>
        <v>1461600</v>
      </c>
      <c r="I318" s="14"/>
    </row>
    <row r="320" spans="1:12" x14ac:dyDescent="0.5">
      <c r="B320" s="4" t="s">
        <v>47</v>
      </c>
      <c r="H320" s="121">
        <f>Input!G209</f>
        <v>5463500</v>
      </c>
      <c r="I320" s="104"/>
    </row>
    <row r="322" spans="2:9" x14ac:dyDescent="0.5">
      <c r="C322" s="4" t="s">
        <v>152</v>
      </c>
      <c r="G322" s="288">
        <f>+H303+H308+H318+H320</f>
        <v>33171100</v>
      </c>
      <c r="H322" s="288"/>
      <c r="I322" s="13"/>
    </row>
    <row r="324" spans="2:9" x14ac:dyDescent="0.5">
      <c r="B324" s="4" t="s">
        <v>153</v>
      </c>
    </row>
    <row r="326" spans="2:9" x14ac:dyDescent="0.5">
      <c r="B326" s="4" t="s">
        <v>89</v>
      </c>
    </row>
    <row r="327" spans="2:9" x14ac:dyDescent="0.5">
      <c r="E327" s="10">
        <f>Input!G24</f>
        <v>8000</v>
      </c>
      <c r="G327" s="2" t="s">
        <v>204</v>
      </c>
      <c r="I327" s="14"/>
    </row>
    <row r="328" spans="2:9" x14ac:dyDescent="0.5">
      <c r="D328" s="2" t="s">
        <v>64</v>
      </c>
      <c r="E328" s="148">
        <f>Input!G42</f>
        <v>2.75E-2</v>
      </c>
      <c r="G328" s="2" t="s">
        <v>116</v>
      </c>
      <c r="H328" s="9"/>
      <c r="I328" s="14"/>
    </row>
    <row r="329" spans="2:9" x14ac:dyDescent="0.5">
      <c r="D329" s="2" t="s">
        <v>64</v>
      </c>
      <c r="E329" s="36">
        <f>SUM(Input!G23/Input!G20)</f>
        <v>0.88888888888888884</v>
      </c>
      <c r="F329" s="9"/>
      <c r="G329" s="9" t="s">
        <v>376</v>
      </c>
      <c r="H329" s="9"/>
      <c r="I329" s="14"/>
    </row>
    <row r="330" spans="2:9" x14ac:dyDescent="0.5">
      <c r="D330" s="4" t="s">
        <v>66</v>
      </c>
      <c r="E330" s="32">
        <f>E327*E328*E329</f>
        <v>195.55555555555554</v>
      </c>
      <c r="F330" s="4"/>
      <c r="G330" s="4" t="s">
        <v>204</v>
      </c>
      <c r="I330" s="14"/>
    </row>
    <row r="332" spans="2:9" x14ac:dyDescent="0.5">
      <c r="B332" s="4" t="s">
        <v>90</v>
      </c>
    </row>
    <row r="333" spans="2:9" x14ac:dyDescent="0.5">
      <c r="B333" s="4"/>
    </row>
    <row r="334" spans="2:9" x14ac:dyDescent="0.5">
      <c r="E334" s="289" t="s">
        <v>115</v>
      </c>
      <c r="F334" s="289"/>
      <c r="G334" s="289"/>
      <c r="H334" s="289"/>
    </row>
    <row r="335" spans="2:9" x14ac:dyDescent="0.5">
      <c r="E335" s="272" t="s">
        <v>373</v>
      </c>
      <c r="F335" s="272"/>
      <c r="G335" s="272"/>
      <c r="H335" s="272"/>
    </row>
    <row r="336" spans="2:9" x14ac:dyDescent="0.5">
      <c r="C336" s="2" t="s">
        <v>91</v>
      </c>
      <c r="E336" s="4"/>
      <c r="F336" s="4"/>
      <c r="G336" s="4"/>
      <c r="H336" s="4"/>
    </row>
    <row r="338" spans="3:9" x14ac:dyDescent="0.5">
      <c r="E338" s="34">
        <f>Input!$G$172</f>
        <v>5766000</v>
      </c>
      <c r="G338" s="2" t="s">
        <v>117</v>
      </c>
      <c r="I338" s="13"/>
    </row>
    <row r="339" spans="3:9" x14ac:dyDescent="0.5">
      <c r="D339" s="2" t="s">
        <v>92</v>
      </c>
      <c r="E339" s="34">
        <f>Input!$G$159*$E$338</f>
        <v>288300</v>
      </c>
      <c r="G339" s="2" t="s">
        <v>118</v>
      </c>
      <c r="I339" s="14"/>
    </row>
    <row r="340" spans="3:9" x14ac:dyDescent="0.5">
      <c r="D340" s="2" t="s">
        <v>73</v>
      </c>
      <c r="E340" s="27">
        <f>Input!G153</f>
        <v>20</v>
      </c>
      <c r="G340" s="2" t="s">
        <v>139</v>
      </c>
      <c r="I340" s="14"/>
    </row>
    <row r="341" spans="3:9" x14ac:dyDescent="0.5">
      <c r="D341" s="2" t="s">
        <v>73</v>
      </c>
      <c r="E341" s="29">
        <f>Input!G18</f>
        <v>780</v>
      </c>
      <c r="F341" s="9"/>
      <c r="G341" s="9" t="s">
        <v>119</v>
      </c>
      <c r="H341" s="9"/>
      <c r="I341" s="14"/>
    </row>
    <row r="342" spans="3:9" x14ac:dyDescent="0.5">
      <c r="D342" s="2" t="s">
        <v>66</v>
      </c>
      <c r="E342" s="30">
        <f>((E338-E339)/E340)/E341</f>
        <v>351.13461538461536</v>
      </c>
      <c r="G342" s="2" t="s">
        <v>204</v>
      </c>
      <c r="H342" s="2" t="s">
        <v>1</v>
      </c>
      <c r="I342" s="14"/>
    </row>
    <row r="343" spans="3:9" x14ac:dyDescent="0.5">
      <c r="C343" s="2" t="s">
        <v>47</v>
      </c>
    </row>
    <row r="345" spans="3:9" x14ac:dyDescent="0.5">
      <c r="E345" s="34">
        <f>Input!G209</f>
        <v>5463500</v>
      </c>
      <c r="G345" s="2" t="s">
        <v>117</v>
      </c>
      <c r="I345" s="13"/>
    </row>
    <row r="346" spans="3:9" x14ac:dyDescent="0.5">
      <c r="D346" s="2" t="s">
        <v>92</v>
      </c>
      <c r="E346" s="34">
        <f>Input!$G$160*$E$345</f>
        <v>819525</v>
      </c>
      <c r="G346" s="2" t="s">
        <v>118</v>
      </c>
      <c r="I346" s="14"/>
    </row>
    <row r="347" spans="3:9" x14ac:dyDescent="0.5">
      <c r="D347" s="2" t="s">
        <v>73</v>
      </c>
      <c r="E347" s="27">
        <f>Input!G154</f>
        <v>15</v>
      </c>
      <c r="G347" s="2" t="s">
        <v>139</v>
      </c>
      <c r="I347" s="14"/>
    </row>
    <row r="348" spans="3:9" x14ac:dyDescent="0.5">
      <c r="D348" s="2" t="s">
        <v>73</v>
      </c>
      <c r="E348" s="29">
        <f>Input!G18</f>
        <v>780</v>
      </c>
      <c r="F348" s="9"/>
      <c r="G348" s="9" t="s">
        <v>119</v>
      </c>
      <c r="H348" s="9"/>
      <c r="I348" s="14"/>
    </row>
    <row r="349" spans="3:9" x14ac:dyDescent="0.5">
      <c r="D349" s="2" t="s">
        <v>66</v>
      </c>
      <c r="E349" s="30">
        <f>((E345-E346)/E347)/E348</f>
        <v>396.92094017094013</v>
      </c>
      <c r="G349" s="2" t="s">
        <v>204</v>
      </c>
      <c r="H349" s="2" t="s">
        <v>1</v>
      </c>
      <c r="I349" s="14"/>
    </row>
    <row r="350" spans="3:9" x14ac:dyDescent="0.5">
      <c r="C350" s="2" t="s">
        <v>45</v>
      </c>
    </row>
    <row r="352" spans="3:9" x14ac:dyDescent="0.5">
      <c r="E352" s="34">
        <f>Input!G182</f>
        <v>1461600</v>
      </c>
      <c r="G352" s="2" t="s">
        <v>117</v>
      </c>
      <c r="I352" s="13"/>
    </row>
    <row r="353" spans="2:9" x14ac:dyDescent="0.5">
      <c r="D353" s="2" t="s">
        <v>92</v>
      </c>
      <c r="E353" s="34">
        <f>Input!$G$161*$E$352</f>
        <v>438480</v>
      </c>
      <c r="G353" s="2" t="s">
        <v>118</v>
      </c>
      <c r="I353" s="14"/>
    </row>
    <row r="354" spans="2:9" x14ac:dyDescent="0.5">
      <c r="D354" s="2" t="s">
        <v>73</v>
      </c>
      <c r="E354" s="2">
        <f>Input!G155</f>
        <v>15</v>
      </c>
      <c r="G354" s="2" t="s">
        <v>139</v>
      </c>
      <c r="I354" s="14"/>
    </row>
    <row r="355" spans="2:9" x14ac:dyDescent="0.5">
      <c r="D355" s="2" t="s">
        <v>73</v>
      </c>
      <c r="E355" s="29">
        <f>Input!G18</f>
        <v>780</v>
      </c>
      <c r="F355" s="9"/>
      <c r="G355" s="9" t="s">
        <v>119</v>
      </c>
      <c r="H355" s="9"/>
      <c r="I355" s="14"/>
    </row>
    <row r="356" spans="2:9" x14ac:dyDescent="0.5">
      <c r="D356" s="2" t="s">
        <v>66</v>
      </c>
      <c r="E356" s="30">
        <f>((E352-E353)/E354)/E355</f>
        <v>87.446153846153848</v>
      </c>
      <c r="G356" s="2" t="s">
        <v>204</v>
      </c>
      <c r="I356" s="14"/>
    </row>
    <row r="358" spans="2:9" x14ac:dyDescent="0.5">
      <c r="B358" s="4"/>
      <c r="C358" s="6" t="s">
        <v>39</v>
      </c>
      <c r="D358" s="4" t="s">
        <v>66</v>
      </c>
      <c r="E358" s="32">
        <f>E342+E349+E356</f>
        <v>835.50170940170926</v>
      </c>
      <c r="F358" s="4"/>
      <c r="G358" s="4" t="s">
        <v>204</v>
      </c>
      <c r="I358" s="13"/>
    </row>
    <row r="360" spans="2:9" x14ac:dyDescent="0.5">
      <c r="B360" s="4" t="s">
        <v>93</v>
      </c>
    </row>
    <row r="361" spans="2:9" x14ac:dyDescent="0.5">
      <c r="C361" s="26" t="s">
        <v>203</v>
      </c>
    </row>
    <row r="362" spans="2:9" x14ac:dyDescent="0.5">
      <c r="C362" s="4"/>
      <c r="D362" s="23">
        <v>2</v>
      </c>
      <c r="E362" s="4"/>
      <c r="F362" s="4"/>
      <c r="G362" s="4"/>
      <c r="H362" s="4"/>
    </row>
    <row r="363" spans="2:9" x14ac:dyDescent="0.5">
      <c r="C363" s="37"/>
      <c r="E363" s="4"/>
      <c r="F363" s="4"/>
      <c r="G363" s="4"/>
      <c r="H363" s="4"/>
    </row>
    <row r="364" spans="2:9" x14ac:dyDescent="0.5">
      <c r="C364" s="2" t="s">
        <v>91</v>
      </c>
      <c r="D364" s="38"/>
      <c r="E364" s="37"/>
      <c r="F364" s="37"/>
      <c r="G364" s="37"/>
      <c r="H364" s="37"/>
    </row>
    <row r="366" spans="2:9" x14ac:dyDescent="0.5">
      <c r="E366" s="34">
        <f>Input!$G$172</f>
        <v>5766000</v>
      </c>
      <c r="G366" s="2" t="s">
        <v>117</v>
      </c>
      <c r="I366" s="13"/>
    </row>
    <row r="367" spans="2:9" x14ac:dyDescent="0.5">
      <c r="D367" s="2" t="s">
        <v>75</v>
      </c>
      <c r="E367" s="34">
        <f>Input!$G$159*$E$338</f>
        <v>288300</v>
      </c>
      <c r="G367" s="2" t="s">
        <v>118</v>
      </c>
      <c r="I367" s="14"/>
    </row>
    <row r="368" spans="2:9" x14ac:dyDescent="0.5">
      <c r="D368" s="2" t="s">
        <v>73</v>
      </c>
      <c r="E368" s="27">
        <v>2</v>
      </c>
      <c r="G368" s="2" t="s">
        <v>114</v>
      </c>
      <c r="I368" s="14"/>
    </row>
    <row r="369" spans="3:9" x14ac:dyDescent="0.5">
      <c r="D369" s="2" t="s">
        <v>64</v>
      </c>
      <c r="E369" s="39">
        <f>Input!$G$42</f>
        <v>2.75E-2</v>
      </c>
      <c r="G369" s="2" t="s">
        <v>121</v>
      </c>
      <c r="I369" s="14"/>
    </row>
    <row r="370" spans="3:9" x14ac:dyDescent="0.5">
      <c r="D370" s="2" t="s">
        <v>73</v>
      </c>
      <c r="E370" s="29">
        <f>Input!G18</f>
        <v>780</v>
      </c>
      <c r="F370" s="9"/>
      <c r="G370" s="9" t="s">
        <v>119</v>
      </c>
      <c r="H370" s="9"/>
      <c r="I370" s="14"/>
    </row>
    <row r="371" spans="3:9" x14ac:dyDescent="0.5">
      <c r="D371" s="2" t="s">
        <v>66</v>
      </c>
      <c r="E371" s="30">
        <f>ROUND((E366+E367)/E368*E369/E370,2)</f>
        <v>106.73</v>
      </c>
      <c r="G371" s="2" t="s">
        <v>204</v>
      </c>
      <c r="I371" s="14"/>
    </row>
    <row r="372" spans="3:9" x14ac:dyDescent="0.5">
      <c r="C372" s="2" t="s">
        <v>47</v>
      </c>
    </row>
    <row r="374" spans="3:9" x14ac:dyDescent="0.5">
      <c r="E374" s="34">
        <f>Input!G209</f>
        <v>5463500</v>
      </c>
      <c r="G374" s="2" t="s">
        <v>117</v>
      </c>
      <c r="I374" s="13"/>
    </row>
    <row r="375" spans="3:9" x14ac:dyDescent="0.5">
      <c r="D375" s="2" t="s">
        <v>75</v>
      </c>
      <c r="E375" s="34">
        <f>Input!$G$160*$E$345</f>
        <v>819525</v>
      </c>
      <c r="G375" s="2" t="s">
        <v>118</v>
      </c>
      <c r="I375" s="14"/>
    </row>
    <row r="376" spans="3:9" x14ac:dyDescent="0.5">
      <c r="D376" s="2" t="s">
        <v>73</v>
      </c>
      <c r="E376" s="27">
        <v>2</v>
      </c>
      <c r="G376" s="2" t="s">
        <v>114</v>
      </c>
      <c r="I376" s="14"/>
    </row>
    <row r="377" spans="3:9" x14ac:dyDescent="0.5">
      <c r="D377" s="2" t="s">
        <v>64</v>
      </c>
      <c r="E377" s="39">
        <f>Input!$G$42</f>
        <v>2.75E-2</v>
      </c>
      <c r="G377" s="2" t="s">
        <v>121</v>
      </c>
      <c r="I377" s="14"/>
    </row>
    <row r="378" spans="3:9" x14ac:dyDescent="0.5">
      <c r="D378" s="2" t="s">
        <v>73</v>
      </c>
      <c r="E378" s="29">
        <f>Input!G18</f>
        <v>780</v>
      </c>
      <c r="F378" s="9"/>
      <c r="G378" s="9" t="s">
        <v>119</v>
      </c>
      <c r="H378" s="9"/>
      <c r="I378" s="13"/>
    </row>
    <row r="379" spans="3:9" x14ac:dyDescent="0.5">
      <c r="D379" s="2" t="s">
        <v>66</v>
      </c>
      <c r="E379" s="30">
        <f>ROUND((E374+E375)/E376*E377/E378,2)</f>
        <v>110.76</v>
      </c>
      <c r="G379" s="2" t="s">
        <v>204</v>
      </c>
      <c r="H379" s="2" t="s">
        <v>1</v>
      </c>
      <c r="I379" s="14"/>
    </row>
    <row r="380" spans="3:9" x14ac:dyDescent="0.5">
      <c r="C380" s="2" t="s">
        <v>45</v>
      </c>
      <c r="H380" s="2" t="s">
        <v>1</v>
      </c>
    </row>
    <row r="382" spans="3:9" x14ac:dyDescent="0.5">
      <c r="E382" s="34">
        <f>Input!G182</f>
        <v>1461600</v>
      </c>
      <c r="G382" s="2" t="s">
        <v>117</v>
      </c>
      <c r="I382" s="13"/>
    </row>
    <row r="383" spans="3:9" x14ac:dyDescent="0.5">
      <c r="D383" s="2" t="s">
        <v>75</v>
      </c>
      <c r="E383" s="34">
        <f>Input!$G$161*$E$352</f>
        <v>438480</v>
      </c>
      <c r="G383" s="2" t="s">
        <v>118</v>
      </c>
      <c r="I383" s="14"/>
    </row>
    <row r="384" spans="3:9" x14ac:dyDescent="0.5">
      <c r="D384" s="2" t="s">
        <v>73</v>
      </c>
      <c r="E384" s="27">
        <v>2</v>
      </c>
      <c r="G384" s="2" t="s">
        <v>114</v>
      </c>
      <c r="I384" s="14"/>
    </row>
    <row r="385" spans="2:9" x14ac:dyDescent="0.5">
      <c r="D385" s="2" t="s">
        <v>64</v>
      </c>
      <c r="E385" s="39">
        <f>Input!$G$42</f>
        <v>2.75E-2</v>
      </c>
      <c r="G385" s="2" t="s">
        <v>121</v>
      </c>
      <c r="I385" s="14"/>
    </row>
    <row r="386" spans="2:9" x14ac:dyDescent="0.5">
      <c r="D386" s="2" t="s">
        <v>73</v>
      </c>
      <c r="E386" s="29">
        <f>Input!G18</f>
        <v>780</v>
      </c>
      <c r="F386" s="9"/>
      <c r="G386" s="9" t="s">
        <v>119</v>
      </c>
      <c r="I386" s="14"/>
    </row>
    <row r="387" spans="2:9" x14ac:dyDescent="0.5">
      <c r="D387" s="2" t="s">
        <v>66</v>
      </c>
      <c r="E387" s="30">
        <f>ROUND((E382+E383)/E384*E385/E386,2)</f>
        <v>33.5</v>
      </c>
      <c r="G387" s="2" t="s">
        <v>204</v>
      </c>
      <c r="I387" s="14"/>
    </row>
    <row r="389" spans="2:9" x14ac:dyDescent="0.5">
      <c r="C389" s="6" t="s">
        <v>39</v>
      </c>
      <c r="D389" s="4" t="s">
        <v>66</v>
      </c>
      <c r="E389" s="32">
        <f>E371+E379+E387</f>
        <v>250.99</v>
      </c>
      <c r="F389" s="4"/>
      <c r="G389" s="4" t="s">
        <v>204</v>
      </c>
      <c r="I389" s="13"/>
    </row>
    <row r="391" spans="2:9" x14ac:dyDescent="0.5">
      <c r="B391" s="4" t="s">
        <v>94</v>
      </c>
    </row>
    <row r="392" spans="2:9" x14ac:dyDescent="0.5">
      <c r="E392" s="2">
        <f>Input!G215</f>
        <v>4</v>
      </c>
      <c r="G392" s="2" t="s">
        <v>201</v>
      </c>
      <c r="I392" s="13"/>
    </row>
    <row r="393" spans="2:9" x14ac:dyDescent="0.5">
      <c r="D393" s="2" t="s">
        <v>64</v>
      </c>
      <c r="E393" s="28">
        <f>Input!G216</f>
        <v>28</v>
      </c>
      <c r="F393" s="9"/>
      <c r="G393" s="9" t="s">
        <v>129</v>
      </c>
      <c r="I393" s="14"/>
    </row>
    <row r="394" spans="2:9" x14ac:dyDescent="0.5">
      <c r="D394" s="4" t="s">
        <v>66</v>
      </c>
      <c r="E394" s="32">
        <f>E392*E393</f>
        <v>112</v>
      </c>
      <c r="G394" s="4" t="s">
        <v>204</v>
      </c>
      <c r="I394" s="14"/>
    </row>
    <row r="395" spans="2:9" x14ac:dyDescent="0.5">
      <c r="D395" s="4"/>
      <c r="E395" s="32"/>
      <c r="G395" s="4"/>
    </row>
    <row r="396" spans="2:9" x14ac:dyDescent="0.5">
      <c r="B396" s="131" t="s">
        <v>329</v>
      </c>
      <c r="D396" s="4"/>
      <c r="E396" s="32"/>
      <c r="G396" s="4"/>
    </row>
    <row r="397" spans="2:9" x14ac:dyDescent="0.5">
      <c r="B397" s="3" t="s">
        <v>331</v>
      </c>
      <c r="D397" s="4"/>
      <c r="E397" s="32"/>
      <c r="G397" s="4"/>
    </row>
    <row r="398" spans="2:9" x14ac:dyDescent="0.5">
      <c r="B398" s="3" t="str">
        <f>"  (eg. potato:  $"&amp;TEXT(Summary!D37,"0.00")&amp;"/cwt x "&amp;Summary!F39&amp;" marketable cwt/ac = $"&amp;TEXT(Summary!F40, "#,###.##")&amp;"/ac)"</f>
        <v xml:space="preserve">  (eg. potato:  $13.75/cwt x 276 marketable cwt/ac = $3,795./ac)</v>
      </c>
      <c r="D398" s="4"/>
      <c r="E398" s="32"/>
      <c r="G398" s="4"/>
    </row>
    <row r="399" spans="2:9" x14ac:dyDescent="0.5">
      <c r="B399" s="3"/>
      <c r="D399" s="4"/>
      <c r="E399" s="32"/>
      <c r="G399" s="4"/>
    </row>
    <row r="400" spans="2:9" x14ac:dyDescent="0.5">
      <c r="B400" s="3" t="s">
        <v>327</v>
      </c>
      <c r="D400" s="4"/>
      <c r="E400" s="32"/>
      <c r="G400" s="4"/>
    </row>
    <row r="401" spans="2:9" x14ac:dyDescent="0.5">
      <c r="B401" s="3" t="str">
        <f>"   (eg. potato: $"&amp;TEXT(Summary!F40,"#,###.##")&amp;" gross revenue - $"&amp;TEXT(Summary!D32,"#,###.##")&amp;" total cost = $"&amp;TEXT(Summary!F44,"0.00")&amp;" per acre)"</f>
        <v xml:space="preserve">   (eg. potato: $3,795. gross revenue - $4,927.04 total cost = $-1132.04 per acre)</v>
      </c>
      <c r="D401" s="4"/>
      <c r="E401" s="32"/>
      <c r="G401" s="4"/>
    </row>
    <row r="402" spans="2:9" x14ac:dyDescent="0.5">
      <c r="B402" s="3"/>
      <c r="D402" s="4"/>
      <c r="E402" s="32"/>
      <c r="G402" s="4"/>
    </row>
    <row r="403" spans="2:9" x14ac:dyDescent="0.5">
      <c r="B403" s="2" t="s">
        <v>328</v>
      </c>
      <c r="D403" s="4"/>
      <c r="E403" s="32"/>
      <c r="G403" s="4"/>
    </row>
    <row r="404" spans="2:9" x14ac:dyDescent="0.5">
      <c r="B404" s="3" t="str">
        <f>"   (eg. potato: $"&amp;TEXT(Summary!D21,"#,###.##")&amp;" operating expense / $"&amp;TEXT(Summary!F40,"#,###")&amp;" gross revenue = "&amp;TEXT(Summary!F45*100,"0.0")&amp;"%)"</f>
        <v xml:space="preserve">   (eg. potato: $3,532.99 operating expense / $3,795 gross revenue = 93.1%)</v>
      </c>
      <c r="D404" s="4"/>
      <c r="E404" s="32"/>
      <c r="G404" s="4"/>
    </row>
    <row r="405" spans="2:9" x14ac:dyDescent="0.5">
      <c r="B405" s="3"/>
      <c r="D405" s="4"/>
      <c r="E405" s="32"/>
      <c r="G405" s="4"/>
    </row>
    <row r="406" spans="2:9" x14ac:dyDescent="0.5">
      <c r="B406" s="3" t="str">
        <f>"Breakeven Price = Cost / Target Yield  (eg. potato cost $"&amp;TEXT(Summary!D32,"#,###.##")&amp;"  / "&amp;Summary!F39&amp;" cwt = $"&amp;TEXT(Summary!F49,"0.00")&amp;" per cwt)"</f>
        <v>Breakeven Price = Cost / Target Yield  (eg. potato cost $4,927.04  / 276 cwt = $17.85 per cwt)</v>
      </c>
      <c r="D406" s="4"/>
      <c r="E406" s="32"/>
      <c r="G406" s="4"/>
    </row>
    <row r="407" spans="2:9" x14ac:dyDescent="0.5">
      <c r="B407" s="3"/>
      <c r="D407" s="4"/>
      <c r="E407" s="32"/>
      <c r="G407" s="4"/>
    </row>
    <row r="408" spans="2:9" ht="15.75" customHeight="1" x14ac:dyDescent="0.5">
      <c r="B408" s="263" t="s">
        <v>330</v>
      </c>
      <c r="C408" s="263"/>
      <c r="D408" s="263"/>
      <c r="E408" s="263"/>
      <c r="F408" s="263"/>
      <c r="G408" s="263"/>
      <c r="H408" s="263"/>
      <c r="I408" s="263"/>
    </row>
    <row r="409" spans="2:9" x14ac:dyDescent="0.5">
      <c r="B409" s="2" t="str">
        <f>"  (eg. potato cost $"&amp;TEXT(Summary!D32,"#,###.##")&amp;"  / $"&amp;TEXT(Summary!D37,"0.00")&amp;" cwt / (1 - ("&amp;Input!G27&amp;" shrink + "&amp;Input!G28&amp;" dockage)) = "&amp;TEXT(Summary!D53,"0.0")&amp;"  cwt)"</f>
        <v xml:space="preserve">  (eg. potato cost $4,927.04  / $13.75 cwt / (1 - (0.09 shrink + 0.06 dockage)) = 421.6  cwt)</v>
      </c>
      <c r="D409" s="4"/>
      <c r="E409" s="32"/>
      <c r="G409" s="4"/>
    </row>
    <row r="411" spans="2:9" ht="15" customHeight="1" x14ac:dyDescent="0.5">
      <c r="C411" s="143"/>
      <c r="D411" s="282" t="s">
        <v>403</v>
      </c>
      <c r="E411" s="282"/>
      <c r="F411" s="282"/>
      <c r="G411" s="282"/>
      <c r="H411" s="282"/>
      <c r="I411" s="282"/>
    </row>
    <row r="412" spans="2:9" ht="15" customHeight="1" x14ac:dyDescent="0.5">
      <c r="C412" s="143"/>
      <c r="D412" s="282"/>
      <c r="E412" s="282"/>
      <c r="F412" s="282"/>
      <c r="G412" s="282"/>
      <c r="H412" s="282"/>
      <c r="I412" s="282"/>
    </row>
    <row r="413" spans="2:9" x14ac:dyDescent="0.5">
      <c r="B413" s="2" t="s">
        <v>402</v>
      </c>
      <c r="C413" s="143"/>
      <c r="D413" s="283"/>
      <c r="E413" s="283"/>
      <c r="F413" s="283"/>
      <c r="G413" s="283"/>
      <c r="H413" s="283"/>
      <c r="I413" s="283"/>
    </row>
    <row r="414" spans="2:9" ht="15" customHeight="1" x14ac:dyDescent="0.5">
      <c r="C414" s="144"/>
      <c r="D414" s="284" t="s">
        <v>152</v>
      </c>
      <c r="E414" s="284"/>
      <c r="F414" s="284"/>
      <c r="G414" s="284"/>
      <c r="H414" s="284"/>
      <c r="I414" s="284"/>
    </row>
    <row r="415" spans="2:9" x14ac:dyDescent="0.5">
      <c r="B415" s="285" t="str">
        <f>"  (eg. "&amp;Summary!H4&amp;" potato: ((("&amp;TEXT(Summary!H44,"$###.##")&amp;" net profit + "&amp;TEXT(Summary!D20,"$###.##")&amp;" op. interest + "&amp;TEXT(Summary!D24,"$###.##")&amp;" land inv. cost + "&amp;TEXT(Summary!D26,"$###.##")&amp;" inv. cost) x "&amp;Input!G18&amp;" potato acres) + ("&amp;TEXT(Input!G221,"$###.##")&amp;" net profit + "&amp;TEXT(Input!G224,"$###.##")&amp;" op. interest + "&amp;TEXT(Input!G222,"$###.##")&amp;" land inv. cost + "&amp;TEXT(Input!G223,"$###.##")&amp;" inv. cost) x "&amp;Input!G219&amp;" rotation acres))) / "&amp;TEXT(Input!G212,"$#,###")&amp;" total capital investment = "&amp;TEXT(Summary!H56*100,"#.###")&amp;"% ROA"</f>
        <v xml:space="preserve">  (eg. 425 CWT potato: ((($36.71 net profit + $86.17 op. interest + $195.56 land inv. cost + $250.99 inv. cost) x 780 potato acres) + ($25. net profit + $6.25 op. interest + $97.78 land inv. cost + $13.75 inv. cost) x 2100 rotation acres))) / $33,171,100 total capital investment = 2.243% ROA</v>
      </c>
      <c r="C415" s="285"/>
      <c r="D415" s="285"/>
      <c r="E415" s="285"/>
      <c r="F415" s="285"/>
      <c r="G415" s="285"/>
      <c r="H415" s="285"/>
      <c r="I415" s="285"/>
    </row>
    <row r="416" spans="2:9" x14ac:dyDescent="0.5">
      <c r="B416" s="285"/>
      <c r="C416" s="285"/>
      <c r="D416" s="285"/>
      <c r="E416" s="285"/>
      <c r="F416" s="285"/>
      <c r="G416" s="285"/>
      <c r="H416" s="285"/>
      <c r="I416" s="285"/>
    </row>
    <row r="417" spans="1:9" x14ac:dyDescent="0.5">
      <c r="B417" s="285"/>
      <c r="C417" s="285"/>
      <c r="D417" s="285"/>
      <c r="E417" s="285"/>
      <c r="F417" s="285"/>
      <c r="G417" s="285"/>
      <c r="H417" s="285"/>
      <c r="I417" s="285"/>
    </row>
    <row r="418" spans="1:9" x14ac:dyDescent="0.5">
      <c r="B418" s="285"/>
      <c r="C418" s="285"/>
      <c r="D418" s="285"/>
      <c r="E418" s="285"/>
      <c r="F418" s="285"/>
      <c r="G418" s="285"/>
      <c r="H418" s="285"/>
      <c r="I418" s="285"/>
    </row>
    <row r="419" spans="1:9" x14ac:dyDescent="0.5">
      <c r="A419" s="13"/>
      <c r="B419" s="250"/>
      <c r="C419" s="250"/>
      <c r="D419" s="250"/>
      <c r="E419" s="250"/>
      <c r="F419" s="250"/>
      <c r="G419" s="250"/>
      <c r="H419" s="250"/>
      <c r="I419" s="250"/>
    </row>
    <row r="420" spans="1:9" x14ac:dyDescent="0.5">
      <c r="B420" s="249"/>
      <c r="C420" s="249"/>
      <c r="D420" s="249"/>
      <c r="E420" s="249"/>
      <c r="F420" s="249"/>
      <c r="G420" s="249"/>
      <c r="H420" s="249"/>
      <c r="I420" s="249"/>
    </row>
    <row r="421" spans="1:9" x14ac:dyDescent="0.5">
      <c r="B421" s="249"/>
      <c r="C421" s="249"/>
      <c r="D421" s="249"/>
      <c r="E421" s="249"/>
      <c r="F421" s="249"/>
      <c r="G421" s="249"/>
      <c r="H421" s="249"/>
      <c r="I421" s="249"/>
    </row>
    <row r="422" spans="1:9" x14ac:dyDescent="0.5">
      <c r="B422" s="249"/>
      <c r="C422" s="249"/>
      <c r="D422" s="249"/>
      <c r="E422" s="249"/>
      <c r="F422" s="249"/>
      <c r="G422" s="249"/>
      <c r="H422" s="249"/>
      <c r="I422" s="249"/>
    </row>
    <row r="423" spans="1:9" x14ac:dyDescent="0.5">
      <c r="B423" s="249"/>
      <c r="C423" s="249"/>
      <c r="D423" s="249"/>
      <c r="E423" s="249"/>
      <c r="F423" s="249"/>
      <c r="G423" s="249"/>
      <c r="H423" s="249"/>
      <c r="I423" s="249"/>
    </row>
    <row r="424" spans="1:9" x14ac:dyDescent="0.5">
      <c r="B424" s="249"/>
      <c r="C424" s="249"/>
      <c r="D424" s="249"/>
      <c r="E424" s="249"/>
      <c r="F424" s="249"/>
      <c r="G424" s="249"/>
      <c r="H424" s="249"/>
      <c r="I424" s="249"/>
    </row>
    <row r="425" spans="1:9" x14ac:dyDescent="0.5">
      <c r="I425" s="248"/>
    </row>
    <row r="427" spans="1:9" x14ac:dyDescent="0.5">
      <c r="B427" s="4"/>
    </row>
    <row r="428" spans="1:9" x14ac:dyDescent="0.5">
      <c r="B428" s="4"/>
    </row>
    <row r="429" spans="1:9" x14ac:dyDescent="0.5">
      <c r="B429" s="4"/>
    </row>
    <row r="430" spans="1:9" x14ac:dyDescent="0.5">
      <c r="B430" s="4"/>
    </row>
  </sheetData>
  <sheetProtection algorithmName="SHA-512" hashValue="VWNXRwxwJ9duIkxB6D3KIwLFf1MJLNjXVsjM+dtkgINw+4l5blDCSG3cX+Y1V6OiPXPgQH57LTJUyX+O0IK9vQ==" saltValue="OEevIBLlsCQ8UbUobobcIA==" spinCount="100000" sheet="1" objects="1" scenarios="1"/>
  <mergeCells count="15">
    <mergeCell ref="D411:I413"/>
    <mergeCell ref="D414:I414"/>
    <mergeCell ref="B415:I418"/>
    <mergeCell ref="B408:I408"/>
    <mergeCell ref="B15:I17"/>
    <mergeCell ref="A300:I300"/>
    <mergeCell ref="G322:H322"/>
    <mergeCell ref="E335:H335"/>
    <mergeCell ref="E334:H334"/>
    <mergeCell ref="A1:I1"/>
    <mergeCell ref="A19:I19"/>
    <mergeCell ref="B3:I4"/>
    <mergeCell ref="B6:I8"/>
    <mergeCell ref="B10:I11"/>
    <mergeCell ref="B13:I13"/>
  </mergeCells>
  <phoneticPr fontId="10" type="noConversion"/>
  <pageMargins left="0.74803149606299213" right="0.74803149606299213" top="0.98425196850393704" bottom="0.98425196850393704" header="0.51181102362204722" footer="0.51181102362204722"/>
  <pageSetup scale="82" firstPageNumber="8" fitToHeight="8" orientation="portrait" useFirstPageNumber="1" horizontalDpi="180" r:id="rId1"/>
  <headerFooter scaleWithDoc="0">
    <oddHeader>&amp;L&amp;10Guidelines: Potato Production Costs&amp;R&amp;10&amp;P</oddHeader>
  </headerFooter>
  <rowBreaks count="8" manualBreakCount="8">
    <brk id="38" max="8" man="1"/>
    <brk id="81" max="8" man="1"/>
    <brk id="172" max="8" man="1"/>
    <brk id="229" max="8" man="1"/>
    <brk id="297" max="8" man="1"/>
    <brk id="330" max="8" man="1"/>
    <brk id="358" max="8" man="1"/>
    <brk id="389" max="8" man="1"/>
  </rowBreaks>
  <ignoredErrors>
    <ignoredError sqref="D98:D108 E98:E108"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S50"/>
  <sheetViews>
    <sheetView topLeftCell="A4" zoomScale="80" zoomScaleNormal="80" workbookViewId="0">
      <selection activeCell="S177" sqref="S177"/>
    </sheetView>
  </sheetViews>
  <sheetFormatPr defaultColWidth="8.86328125" defaultRowHeight="15" x14ac:dyDescent="0.5"/>
  <cols>
    <col min="1" max="19" width="8.86328125" style="150"/>
    <col min="20" max="20" width="8.86328125" style="150" customWidth="1"/>
    <col min="21" max="16384" width="8.86328125" style="150"/>
  </cols>
  <sheetData>
    <row r="50" spans="19:19" x14ac:dyDescent="0.5">
      <c r="S50" s="151"/>
    </row>
  </sheetData>
  <pageMargins left="0.70866141732283472" right="0.70866141732283472" top="0.74803149606299213" bottom="0.74803149606299213" header="0.31496062992125984" footer="0.31496062992125984"/>
  <pageSetup scale="56" firstPageNumber="6" fitToHeight="2" orientation="portrait" useFirstPageNumber="1" r:id="rId1"/>
  <headerFooter>
    <oddHeader>&amp;LGuidelines: Crop Production Costs&amp;R&amp;P</oddHeader>
    <oddFooter>&amp;RManitoba Agriculture, Farm Management</oddFooter>
  </headerFooter>
  <rowBreaks count="1" manualBreakCount="1">
    <brk id="28"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3:L94"/>
  <sheetViews>
    <sheetView topLeftCell="A67" zoomScaleNormal="100" workbookViewId="0">
      <selection activeCell="B78" sqref="B78:D78"/>
    </sheetView>
  </sheetViews>
  <sheetFormatPr defaultColWidth="8.86328125" defaultRowHeight="15" x14ac:dyDescent="0.5"/>
  <cols>
    <col min="1" max="1" width="25.76953125" style="150" customWidth="1"/>
    <col min="2" max="7" width="11.86328125" style="150" customWidth="1"/>
    <col min="8" max="8" width="11.31640625" style="150" customWidth="1"/>
    <col min="9" max="12" width="8" style="150" bestFit="1" customWidth="1"/>
    <col min="13" max="16384" width="8.86328125" style="150"/>
  </cols>
  <sheetData>
    <row r="3" spans="1:12" x14ac:dyDescent="0.5">
      <c r="A3" s="152" t="str">
        <f>"Manitoba Breakeven Yield Risk Ratio - "&amp;Introduction!I12</f>
        <v>Manitoba Breakeven Yield Risk Ratio - 2022</v>
      </c>
    </row>
    <row r="4" spans="1:12" ht="45.3" x14ac:dyDescent="0.55000000000000004">
      <c r="A4" s="153" t="str">
        <f>"Manitoba Risk &amp; Reward Analysis - "&amp;Introduction!I12</f>
        <v>Manitoba Risk &amp; Reward Analysis - 2022</v>
      </c>
      <c r="B4" s="154"/>
      <c r="C4" s="154"/>
      <c r="D4" s="154"/>
      <c r="E4" s="155" t="s">
        <v>414</v>
      </c>
    </row>
    <row r="5" spans="1:12" ht="17.399999999999999" x14ac:dyDescent="0.55000000000000004">
      <c r="A5" s="153" t="str">
        <f>"Manitoba - 80% Insured Value AgriInsurance Risk Analysis - "&amp;Introduction!I12</f>
        <v>Manitoba - 80% Insured Value AgriInsurance Risk Analysis - 2022</v>
      </c>
      <c r="B5" s="154"/>
      <c r="C5" s="154"/>
      <c r="D5" s="154"/>
      <c r="E5" s="154"/>
    </row>
    <row r="6" spans="1:12" ht="90" x14ac:dyDescent="0.5">
      <c r="A6" s="156"/>
      <c r="B6" s="155" t="s">
        <v>141</v>
      </c>
      <c r="C6" s="155" t="s">
        <v>420</v>
      </c>
      <c r="D6" s="155" t="s">
        <v>415</v>
      </c>
      <c r="E6" s="155" t="s">
        <v>416</v>
      </c>
      <c r="F6" s="155"/>
      <c r="G6" s="157" t="s">
        <v>417</v>
      </c>
      <c r="H6" s="157"/>
      <c r="I6" s="237" t="s">
        <v>539</v>
      </c>
      <c r="J6" s="237" t="s">
        <v>442</v>
      </c>
      <c r="L6" s="159" t="s">
        <v>418</v>
      </c>
    </row>
    <row r="7" spans="1:12" x14ac:dyDescent="0.5">
      <c r="A7" s="230" t="s">
        <v>538</v>
      </c>
      <c r="B7" s="233">
        <f>Summary!D21</f>
        <v>3532.99229375</v>
      </c>
      <c r="C7" s="239">
        <v>2638.62</v>
      </c>
      <c r="D7" s="232">
        <f>SUM(C7/B7)</f>
        <v>0.7468513318491582</v>
      </c>
      <c r="E7" s="232">
        <f>C7/Summary!D32</f>
        <v>0.53553862690972776</v>
      </c>
      <c r="F7" s="157"/>
      <c r="G7" s="157"/>
      <c r="H7" s="157"/>
      <c r="I7" s="238">
        <f>Input!E125</f>
        <v>55.04</v>
      </c>
      <c r="J7" s="162">
        <f>SUM(I7/C7)</f>
        <v>2.0859388619808839E-2</v>
      </c>
      <c r="L7" s="231"/>
    </row>
    <row r="8" spans="1:12" x14ac:dyDescent="0.5">
      <c r="A8" s="2" t="s">
        <v>412</v>
      </c>
      <c r="B8" s="160">
        <v>244.95043592838095</v>
      </c>
      <c r="C8" s="160">
        <v>330.42600000000004</v>
      </c>
      <c r="D8" s="161">
        <v>1.3489504468430935</v>
      </c>
      <c r="E8" s="161">
        <v>0.80652696309969563</v>
      </c>
      <c r="F8" s="162"/>
      <c r="G8" s="163">
        <v>9.8391571470958589E-2</v>
      </c>
      <c r="H8" s="151"/>
      <c r="I8" s="238">
        <v>7.4649999999999999</v>
      </c>
      <c r="J8" s="162">
        <v>2.2592047841271567E-2</v>
      </c>
      <c r="L8" s="151">
        <v>1.098901098901099</v>
      </c>
    </row>
    <row r="9" spans="1:12" x14ac:dyDescent="0.5">
      <c r="A9" s="2" t="s">
        <v>478</v>
      </c>
      <c r="B9" s="160">
        <v>199.48883328165601</v>
      </c>
      <c r="C9" s="160">
        <v>273.99880000000002</v>
      </c>
      <c r="D9" s="161">
        <v>1.3735044488086421</v>
      </c>
      <c r="E9" s="161">
        <v>0.7479659788445403</v>
      </c>
      <c r="F9" s="162"/>
      <c r="G9" s="163">
        <v>2.8457725105659398E-2</v>
      </c>
      <c r="H9" s="151"/>
      <c r="I9" s="238">
        <v>7.7024999999999988</v>
      </c>
      <c r="J9" s="162">
        <v>2.8111436984395544E-2</v>
      </c>
      <c r="L9" s="151">
        <v>1.02803738317757</v>
      </c>
    </row>
    <row r="10" spans="1:12" x14ac:dyDescent="0.5">
      <c r="A10" s="2" t="s">
        <v>413</v>
      </c>
      <c r="B10" s="160">
        <v>202.72000432861327</v>
      </c>
      <c r="C10" s="160">
        <v>282.65039999999999</v>
      </c>
      <c r="D10" s="161">
        <v>1.3942896308438211</v>
      </c>
      <c r="E10" s="161">
        <v>0.76920144244573452</v>
      </c>
      <c r="F10" s="162"/>
      <c r="G10" s="163">
        <v>0.14298301303379896</v>
      </c>
      <c r="H10" s="151"/>
      <c r="I10" s="238">
        <v>12.662499999999998</v>
      </c>
      <c r="J10" s="162">
        <v>4.4799158253446651E-2</v>
      </c>
      <c r="L10" s="151">
        <v>1.1428571428571428</v>
      </c>
    </row>
    <row r="11" spans="1:12" x14ac:dyDescent="0.5">
      <c r="A11" s="2" t="s">
        <v>507</v>
      </c>
      <c r="B11" s="160">
        <v>178.38326176678888</v>
      </c>
      <c r="C11" s="160">
        <v>219.15120000000002</v>
      </c>
      <c r="D11" s="161">
        <v>1.2285412758429628</v>
      </c>
      <c r="E11" s="161">
        <v>0.63022314994861917</v>
      </c>
      <c r="F11" s="162"/>
      <c r="G11" s="163">
        <v>-0.19177163395382091</v>
      </c>
      <c r="H11" s="151"/>
      <c r="I11" s="238">
        <v>8.8099999999999987</v>
      </c>
      <c r="J11" s="162">
        <v>4.0200555598144103E-2</v>
      </c>
      <c r="L11" s="151">
        <v>0.80841638981173869</v>
      </c>
    </row>
    <row r="12" spans="1:12" x14ac:dyDescent="0.5">
      <c r="A12" s="2" t="s">
        <v>508</v>
      </c>
      <c r="B12" s="160">
        <v>157.37599038727407</v>
      </c>
      <c r="C12" s="160">
        <v>262.596</v>
      </c>
      <c r="D12" s="161">
        <v>1.6685899758520875</v>
      </c>
      <c r="E12" s="161">
        <v>0.79285775604886888</v>
      </c>
      <c r="F12" s="162"/>
      <c r="G12" s="163">
        <v>3.0338273437815092E-2</v>
      </c>
      <c r="H12" s="151"/>
      <c r="I12" s="238">
        <v>8.9199999999999982</v>
      </c>
      <c r="J12" s="162">
        <v>3.3968529604411331E-2</v>
      </c>
      <c r="L12" s="151">
        <v>1.0304219823356231</v>
      </c>
    </row>
    <row r="13" spans="1:12" x14ac:dyDescent="0.5">
      <c r="A13" s="2" t="s">
        <v>509</v>
      </c>
      <c r="B13" s="160">
        <v>337.88685009746649</v>
      </c>
      <c r="C13" s="160">
        <v>345.94560000000001</v>
      </c>
      <c r="D13" s="161">
        <v>1.0238504395782462</v>
      </c>
      <c r="E13" s="161">
        <v>0.65910440941327797</v>
      </c>
      <c r="F13" s="162"/>
      <c r="G13" s="163">
        <v>7.4547232018816773E-2</v>
      </c>
      <c r="H13" s="151"/>
      <c r="I13" s="238">
        <v>28.31</v>
      </c>
      <c r="J13" s="162">
        <v>8.1833675583675575E-2</v>
      </c>
      <c r="L13" s="151">
        <v>1.0746951219512195</v>
      </c>
    </row>
    <row r="14" spans="1:12" x14ac:dyDescent="0.5">
      <c r="A14" s="2" t="s">
        <v>531</v>
      </c>
      <c r="B14" s="160">
        <v>209.70506370384354</v>
      </c>
      <c r="C14" s="160">
        <v>276.33240000000001</v>
      </c>
      <c r="D14" s="161">
        <v>1.317719253504775</v>
      </c>
      <c r="E14" s="161">
        <v>0.7303449897204799</v>
      </c>
      <c r="F14" s="162"/>
      <c r="G14" s="163">
        <v>7.834172107923576E-2</v>
      </c>
      <c r="H14" s="151"/>
      <c r="I14" s="164"/>
      <c r="L14" s="151">
        <v>1.0776545166402536</v>
      </c>
    </row>
    <row r="15" spans="1:12" x14ac:dyDescent="0.5">
      <c r="A15" s="2" t="s">
        <v>511</v>
      </c>
      <c r="B15" s="160">
        <v>171.91365597176832</v>
      </c>
      <c r="C15" s="160">
        <v>213.79600000000002</v>
      </c>
      <c r="D15" s="161">
        <v>1.2436242996025262</v>
      </c>
      <c r="E15" s="161">
        <v>0.63931050112486465</v>
      </c>
      <c r="F15" s="162"/>
      <c r="G15" s="163">
        <v>-0.10291516053874085</v>
      </c>
      <c r="H15" s="151"/>
      <c r="I15" s="164"/>
      <c r="L15" s="151">
        <v>0.89552238805970152</v>
      </c>
    </row>
    <row r="16" spans="1:12" x14ac:dyDescent="0.5">
      <c r="A16" s="2" t="s">
        <v>515</v>
      </c>
      <c r="B16" s="160">
        <v>126.06833751856932</v>
      </c>
      <c r="C16" s="160">
        <v>166.92960000000002</v>
      </c>
      <c r="D16" s="161">
        <v>1.3241199438789459</v>
      </c>
      <c r="E16" s="161">
        <v>0.56909610750116657</v>
      </c>
      <c r="F16" s="162"/>
      <c r="G16" s="163">
        <v>-0.11019924532375044</v>
      </c>
      <c r="H16" s="151"/>
      <c r="I16" s="164"/>
      <c r="L16" s="151">
        <v>0.88957055214723924</v>
      </c>
    </row>
    <row r="17" spans="1:12" x14ac:dyDescent="0.5">
      <c r="A17" s="2" t="s">
        <v>514</v>
      </c>
      <c r="B17" s="160">
        <v>151.23989287803889</v>
      </c>
      <c r="C17" s="160">
        <v>174.51520000000005</v>
      </c>
      <c r="D17" s="161">
        <v>1.1538966120581067</v>
      </c>
      <c r="E17" s="161">
        <v>0.55229926421144004</v>
      </c>
      <c r="F17" s="162"/>
      <c r="G17" s="163">
        <v>-5.057107195572666E-2</v>
      </c>
      <c r="H17" s="151"/>
      <c r="I17" s="164"/>
      <c r="L17" s="151">
        <v>0.95011876484560565</v>
      </c>
    </row>
    <row r="18" spans="1:12" x14ac:dyDescent="0.5">
      <c r="A18" s="2" t="s">
        <v>532</v>
      </c>
      <c r="B18" s="160">
        <v>304.97952186665566</v>
      </c>
      <c r="C18" s="160">
        <v>376.76800000000003</v>
      </c>
      <c r="D18" s="161">
        <v>1.2353878637291982</v>
      </c>
      <c r="E18" s="161">
        <v>0.7811587954073157</v>
      </c>
      <c r="F18" s="162"/>
      <c r="G18" s="163">
        <v>4.4950826198846876E-2</v>
      </c>
      <c r="H18" s="151"/>
      <c r="I18" s="164"/>
      <c r="L18" s="151">
        <v>1.044932079414838</v>
      </c>
    </row>
    <row r="19" spans="1:12" x14ac:dyDescent="0.5">
      <c r="A19" s="2" t="s">
        <v>533</v>
      </c>
      <c r="B19" s="160">
        <v>311.40025565043203</v>
      </c>
      <c r="C19" s="160">
        <v>441.00600000000009</v>
      </c>
      <c r="D19" s="161">
        <v>1.4162030762590616</v>
      </c>
      <c r="E19" s="161">
        <v>0.91978408425289682</v>
      </c>
      <c r="F19" s="162"/>
      <c r="G19" s="163">
        <v>0.16379259922340356</v>
      </c>
      <c r="H19" s="151"/>
      <c r="I19" s="164"/>
      <c r="L19" s="151">
        <v>1.1637680222408999</v>
      </c>
    </row>
    <row r="20" spans="1:12" x14ac:dyDescent="0.5">
      <c r="A20" s="2" t="s">
        <v>534</v>
      </c>
      <c r="B20" s="160">
        <v>324.36862679836781</v>
      </c>
      <c r="C20" s="160">
        <v>413.952</v>
      </c>
      <c r="D20" s="161">
        <v>1.2761776750293379</v>
      </c>
      <c r="E20" s="161">
        <v>0.84082110862954407</v>
      </c>
      <c r="F20" s="162"/>
      <c r="G20" s="163">
        <v>6.6382290774076855E-2</v>
      </c>
      <c r="H20" s="151"/>
      <c r="I20" s="164"/>
      <c r="L20" s="151">
        <v>1.0663579306562672</v>
      </c>
    </row>
    <row r="21" spans="1:12" x14ac:dyDescent="0.5">
      <c r="A21" s="2" t="s">
        <v>535</v>
      </c>
      <c r="B21" s="160">
        <v>227.82202186665569</v>
      </c>
      <c r="C21" s="160">
        <v>322.94400000000002</v>
      </c>
      <c r="D21" s="161">
        <v>1.4175275829525351</v>
      </c>
      <c r="E21" s="161">
        <v>0.7970740643461558</v>
      </c>
      <c r="F21" s="162"/>
      <c r="G21" s="163">
        <v>6.6240573590279725E-2</v>
      </c>
      <c r="H21" s="151"/>
      <c r="I21" s="164"/>
      <c r="L21" s="151">
        <v>1.066224380997512</v>
      </c>
    </row>
    <row r="22" spans="1:12" x14ac:dyDescent="0.5">
      <c r="A22" s="2" t="s">
        <v>536</v>
      </c>
      <c r="B22" s="160">
        <v>203.68254550327609</v>
      </c>
      <c r="C22" s="160">
        <v>212.91580000000002</v>
      </c>
      <c r="D22" s="161">
        <v>1.0453315941918815</v>
      </c>
      <c r="E22" s="161">
        <v>0.57183748296143844</v>
      </c>
      <c r="F22" s="162"/>
      <c r="G22" s="163">
        <v>-5.0320671480629235E-2</v>
      </c>
      <c r="H22" s="151"/>
      <c r="I22" s="164"/>
      <c r="L22" s="151">
        <v>0.94972067039106156</v>
      </c>
    </row>
    <row r="23" spans="1:12" x14ac:dyDescent="0.5">
      <c r="A23" s="2" t="s">
        <v>537</v>
      </c>
      <c r="B23" s="160">
        <v>201.56004550327609</v>
      </c>
      <c r="C23" s="160">
        <v>208.6054</v>
      </c>
      <c r="D23" s="161">
        <v>1.0349541223764478</v>
      </c>
      <c r="E23" s="161">
        <v>0.56347292250494951</v>
      </c>
      <c r="F23" s="162"/>
      <c r="G23" s="163">
        <v>-4.4875993633193799E-2</v>
      </c>
      <c r="H23" s="151"/>
      <c r="I23" s="164"/>
      <c r="L23" s="151">
        <v>0.9550561797752809</v>
      </c>
    </row>
    <row r="26" spans="1:12" ht="60" x14ac:dyDescent="0.5">
      <c r="A26" s="156"/>
      <c r="B26" s="155"/>
      <c r="C26" s="155"/>
      <c r="D26" s="155"/>
      <c r="E26" s="155" t="s">
        <v>416</v>
      </c>
      <c r="F26" s="155"/>
      <c r="G26" s="157" t="s">
        <v>417</v>
      </c>
      <c r="H26" s="157"/>
      <c r="I26" s="158"/>
      <c r="L26" s="159" t="s">
        <v>418</v>
      </c>
    </row>
    <row r="27" spans="1:12" x14ac:dyDescent="0.5">
      <c r="A27" s="230" t="str">
        <f>"Irrigated Potato - "&amp;Summary!F38&amp;" Gross Yield per acre (cwt)"</f>
        <v>Irrigated Potato - 325 Gross Yield per acre (cwt)</v>
      </c>
      <c r="B27" s="233"/>
      <c r="C27" s="233"/>
      <c r="D27" s="232"/>
      <c r="E27" s="232">
        <f>E7</f>
        <v>0.53553862690972776</v>
      </c>
      <c r="F27" s="157"/>
      <c r="G27" s="234">
        <f>SUM(Summary!F44/Summary!$D$32)</f>
        <v>-0.22976059867566495</v>
      </c>
      <c r="H27" s="157"/>
      <c r="I27" s="158"/>
      <c r="L27" s="151">
        <f>SUM(Summary!F38/Summary!$D$53)</f>
        <v>0.7709370819414767</v>
      </c>
    </row>
    <row r="28" spans="1:12" x14ac:dyDescent="0.5">
      <c r="A28" s="230" t="str">
        <f>"Irrigated Potato - "&amp;Summary!G38&amp;" Gross Yield per acre (cwt)"</f>
        <v>Irrigated Potato - 375 Gross Yield per acre (cwt)</v>
      </c>
      <c r="E28" s="235">
        <f>E7</f>
        <v>0.53553862690972776</v>
      </c>
      <c r="G28" s="234">
        <f>SUM(Summary!G44/Summary!$D$32)</f>
        <v>-0.1097595325273084</v>
      </c>
      <c r="L28" s="151">
        <f>SUM(Summary!G38/Summary!$D$53)</f>
        <v>0.88954278685554999</v>
      </c>
    </row>
    <row r="29" spans="1:12" x14ac:dyDescent="0.5">
      <c r="A29" s="230" t="str">
        <f>"Irrigated Potato - "&amp;Summary!H38&amp;" Gross Yield per acre (cwt)"</f>
        <v>Irrigated Potato - 425 Gross Yield per acre (cwt)</v>
      </c>
      <c r="E29" s="235">
        <f>E7</f>
        <v>0.53553862690972776</v>
      </c>
      <c r="G29" s="234">
        <f>SUM(Summary!H44/Summary!$D$32)</f>
        <v>7.4508111524817164E-3</v>
      </c>
      <c r="L29" s="151">
        <f>SUM(Summary!H38/Summary!$D$53)</f>
        <v>1.0081484917696233</v>
      </c>
    </row>
    <row r="30" spans="1:12" x14ac:dyDescent="0.5">
      <c r="A30" s="230" t="str">
        <f>"Irrigated Potato - "&amp;Summary!I38&amp;" Gross Yield per acre (cwt)"</f>
        <v>Irrigated Potato - 475 Gross Yield per acre (cwt)</v>
      </c>
      <c r="E30" s="235">
        <f>E7</f>
        <v>0.53553862690972776</v>
      </c>
      <c r="G30" s="234">
        <f>SUM(Summary!I44/Summary!$D$32)</f>
        <v>0.12745187730083826</v>
      </c>
      <c r="L30" s="151">
        <f>SUM(Summary!I38/Summary!$D$53)</f>
        <v>1.1267541966836967</v>
      </c>
    </row>
    <row r="34" spans="1:7" x14ac:dyDescent="0.5">
      <c r="A34" s="152" t="str">
        <f>"Manitoba - Monetizing Risk &amp; Reward ($/unit) - "&amp;Introduction!I12</f>
        <v>Manitoba - Monetizing Risk &amp; Reward ($/unit) - 2022</v>
      </c>
    </row>
    <row r="36" spans="1:7" ht="45" x14ac:dyDescent="0.5">
      <c r="B36" s="236" t="s">
        <v>449</v>
      </c>
      <c r="C36" s="236" t="s">
        <v>450</v>
      </c>
      <c r="D36" s="236" t="s">
        <v>451</v>
      </c>
      <c r="E36" s="236" t="s">
        <v>449</v>
      </c>
      <c r="F36" s="236" t="s">
        <v>450</v>
      </c>
      <c r="G36" s="236" t="s">
        <v>451</v>
      </c>
    </row>
    <row r="37" spans="1:7" x14ac:dyDescent="0.5">
      <c r="A37" s="150" t="s">
        <v>412</v>
      </c>
      <c r="B37" s="238">
        <v>8.2606500000000018</v>
      </c>
      <c r="C37" s="238">
        <v>1.9815990232095224</v>
      </c>
      <c r="D37" s="238">
        <v>1.0077509767904758</v>
      </c>
      <c r="E37" s="238">
        <v>8.2606500000000018</v>
      </c>
      <c r="F37" s="238">
        <v>1.9815990232095224</v>
      </c>
      <c r="G37" s="238">
        <v>1.0077509767904758</v>
      </c>
    </row>
    <row r="38" spans="1:7" x14ac:dyDescent="0.5">
      <c r="A38" s="150" t="s">
        <v>478</v>
      </c>
      <c r="B38" s="238">
        <v>4.9817963636363638</v>
      </c>
      <c r="C38" s="238">
        <v>1.6786621392119274</v>
      </c>
      <c r="D38" s="238">
        <v>0.18954149715170843</v>
      </c>
      <c r="E38" s="238">
        <v>0</v>
      </c>
      <c r="F38" s="238"/>
      <c r="G38" s="238"/>
    </row>
    <row r="39" spans="1:7" x14ac:dyDescent="0.5">
      <c r="A39" s="150" t="s">
        <v>413</v>
      </c>
      <c r="B39" s="238">
        <v>7.0662599999999998</v>
      </c>
      <c r="C39" s="238">
        <v>2.1202282332153324</v>
      </c>
      <c r="D39" s="238">
        <v>1.3135117667846679</v>
      </c>
      <c r="E39" s="238">
        <v>0</v>
      </c>
      <c r="F39" s="238"/>
      <c r="G39" s="238"/>
    </row>
    <row r="40" spans="1:7" x14ac:dyDescent="0.5">
      <c r="A40" s="150" t="s">
        <v>507</v>
      </c>
      <c r="B40" s="238">
        <v>3.0020712328767125</v>
      </c>
      <c r="C40" s="238">
        <v>1.7614339368738205</v>
      </c>
      <c r="D40" s="238">
        <v>-0.91350516975053297</v>
      </c>
      <c r="E40" s="238">
        <v>0</v>
      </c>
      <c r="F40" s="238"/>
      <c r="G40" s="238"/>
    </row>
    <row r="41" spans="1:7" x14ac:dyDescent="0.5">
      <c r="A41" s="150" t="s">
        <v>508</v>
      </c>
      <c r="B41" s="238">
        <v>2.5009142857142859</v>
      </c>
      <c r="C41" s="238">
        <v>0.65338958106927691</v>
      </c>
      <c r="D41" s="238">
        <v>9.5696133216437218E-2</v>
      </c>
      <c r="E41" s="238">
        <v>0</v>
      </c>
      <c r="F41" s="238"/>
      <c r="G41" s="238"/>
    </row>
    <row r="42" spans="1:7" x14ac:dyDescent="0.5">
      <c r="A42" s="150" t="s">
        <v>509</v>
      </c>
      <c r="B42" s="238">
        <v>2.4535148936170215</v>
      </c>
      <c r="C42" s="238">
        <v>1.2689831788827406</v>
      </c>
      <c r="D42" s="238">
        <v>0.27750192750023794</v>
      </c>
      <c r="E42" s="238">
        <v>0</v>
      </c>
      <c r="F42" s="238"/>
      <c r="G42" s="238"/>
    </row>
    <row r="44" spans="1:7" x14ac:dyDescent="0.5">
      <c r="A44" s="230" t="str">
        <f>"Irrigated Potato - "&amp;Summary!F39&amp;" Mkt Yield/ac (cwt)"</f>
        <v>Irrigated Potato - 276 Mkt Yield/ac (cwt)</v>
      </c>
      <c r="B44" s="238">
        <f>SUM($C$7/Input!D33)</f>
        <v>9.5602173913043469</v>
      </c>
      <c r="C44" s="238">
        <f>Summary!F$49-'Chart data (HIDE)'!B44</f>
        <v>8.291375212707484</v>
      </c>
      <c r="D44" s="238">
        <f>Input!$E$36-Summary!F$49</f>
        <v>-4.1015926040118309</v>
      </c>
      <c r="E44" s="238">
        <v>0</v>
      </c>
      <c r="F44" s="238"/>
      <c r="G44" s="238"/>
    </row>
    <row r="45" spans="1:7" x14ac:dyDescent="0.5">
      <c r="A45" s="230" t="str">
        <f>"Irrigated Potato - "&amp;Summary!G39&amp;" Mkt Yield/ac (cwt)"</f>
        <v>Irrigated Potato - 319 Mkt Yield/ac (cwt)</v>
      </c>
      <c r="B45" s="238">
        <f>SUM($C$7/Input!E33)</f>
        <v>8.2715360501567403</v>
      </c>
      <c r="C45" s="238">
        <f>Summary!G$49-'Chart data (HIDE)'!B45</f>
        <v>7.1737290241607052</v>
      </c>
      <c r="D45" s="238">
        <f>Input!$E$36-Summary!G$49</f>
        <v>-1.6952650743174456</v>
      </c>
      <c r="E45" s="238">
        <v>0</v>
      </c>
      <c r="F45" s="238"/>
      <c r="G45" s="238"/>
    </row>
    <row r="46" spans="1:7" x14ac:dyDescent="0.5">
      <c r="A46" s="230" t="str">
        <f>"Irrigated Potato - "&amp;Summary!H39&amp;" Mkt Yield/ac (cwt)"</f>
        <v>Irrigated Potato - 361 Mkt Yield/ac (cwt)</v>
      </c>
      <c r="B46" s="238">
        <f>SUM($C$7/Input!F33)</f>
        <v>7.3091966759002771</v>
      </c>
      <c r="C46" s="238">
        <f>Summary!H$49-'Chart data (HIDE)'!B46</f>
        <v>6.3391123509896543</v>
      </c>
      <c r="D46" s="238">
        <f>Input!$E$36-Summary!H$49</f>
        <v>0.10169097311006858</v>
      </c>
      <c r="E46" s="238">
        <v>0</v>
      </c>
      <c r="F46" s="238"/>
      <c r="G46" s="238"/>
    </row>
    <row r="47" spans="1:7" x14ac:dyDescent="0.5">
      <c r="A47" s="230" t="str">
        <f>"Irrigated Potato - "&amp;Summary!I39&amp;" Mkt Yield/ac (cwt)"</f>
        <v>Irrigated Potato - 404 Mkt Yield/ac (cwt)</v>
      </c>
      <c r="B47" s="238">
        <f>SUM($C$7/Input!G33)</f>
        <v>6.5312376237623759</v>
      </c>
      <c r="C47" s="238">
        <f>Summary!I$49-'Chart data (HIDE)'!B47</f>
        <v>5.6644048482853098</v>
      </c>
      <c r="D47" s="238">
        <f>Input!$E$36-Summary!I$49</f>
        <v>1.5543575279523143</v>
      </c>
      <c r="E47" s="238">
        <f>B47</f>
        <v>6.5312376237623759</v>
      </c>
      <c r="F47" s="238">
        <f>C47</f>
        <v>5.6644048482853098</v>
      </c>
      <c r="G47" s="238">
        <f>D47</f>
        <v>1.5543575279523143</v>
      </c>
    </row>
    <row r="50" spans="1:8" x14ac:dyDescent="0.5">
      <c r="A50" s="54" t="str">
        <f>"Manitoba - Average Land Rent Calculation - "&amp;Introduction!I12</f>
        <v>Manitoba - Average Land Rent Calculation - 2022</v>
      </c>
    </row>
    <row r="51" spans="1:8" x14ac:dyDescent="0.5">
      <c r="A51" s="54" t="str">
        <f>"Manitoba - Breakeven Land Rent Calculation - "&amp;Introduction!I12</f>
        <v>Manitoba - Breakeven Land Rent Calculation - 2022</v>
      </c>
    </row>
    <row r="52" spans="1:8" ht="45" x14ac:dyDescent="0.5">
      <c r="B52" s="241" t="s">
        <v>452</v>
      </c>
      <c r="C52" s="241" t="s">
        <v>469</v>
      </c>
      <c r="D52" s="241" t="s">
        <v>470</v>
      </c>
      <c r="E52" s="241" t="s">
        <v>471</v>
      </c>
      <c r="F52" s="241" t="s">
        <v>472</v>
      </c>
      <c r="G52" s="241" t="s">
        <v>473</v>
      </c>
      <c r="H52" s="241" t="s">
        <v>474</v>
      </c>
    </row>
    <row r="53" spans="1:8" x14ac:dyDescent="0.5">
      <c r="A53" s="150" t="s">
        <v>412</v>
      </c>
      <c r="B53" s="240">
        <v>104.99003907161904</v>
      </c>
      <c r="C53" s="240">
        <v>81</v>
      </c>
      <c r="D53" s="240">
        <v>23.990039071619037</v>
      </c>
      <c r="E53" s="162">
        <v>5.63133289638083E-2</v>
      </c>
      <c r="F53" s="240">
        <v>99</v>
      </c>
      <c r="G53" s="240">
        <v>5.9900390716190373</v>
      </c>
      <c r="H53" s="162">
        <v>1.3490776330995947E-2</v>
      </c>
    </row>
    <row r="54" spans="1:8" x14ac:dyDescent="0.5">
      <c r="A54" s="150" t="s">
        <v>478</v>
      </c>
      <c r="B54" s="240">
        <v>75.104782343344027</v>
      </c>
      <c r="C54" s="240">
        <v>67.814999999999998</v>
      </c>
      <c r="D54" s="240">
        <v>7.2897823433440294</v>
      </c>
      <c r="E54" s="162">
        <v>1.9730899282148197E-2</v>
      </c>
      <c r="F54" s="240">
        <v>82.885000000000005</v>
      </c>
      <c r="G54" s="240">
        <v>-7.780217656655978</v>
      </c>
      <c r="H54" s="162">
        <v>-2.0233046193531855E-2</v>
      </c>
    </row>
    <row r="55" spans="1:8" x14ac:dyDescent="0.5">
      <c r="A55" s="150" t="s">
        <v>413</v>
      </c>
      <c r="B55" s="240">
        <v>117.22047067138675</v>
      </c>
      <c r="C55" s="240">
        <v>75.599999999999994</v>
      </c>
      <c r="D55" s="240">
        <v>41.620470671386755</v>
      </c>
      <c r="E55" s="162">
        <v>0.10999662361554557</v>
      </c>
      <c r="F55" s="240">
        <v>92.4</v>
      </c>
      <c r="G55" s="240">
        <v>24.820470671386744</v>
      </c>
      <c r="H55" s="162">
        <v>6.2808088044325722E-2</v>
      </c>
    </row>
    <row r="57" spans="1:8" x14ac:dyDescent="0.5">
      <c r="A57" s="150" t="str">
        <f>A44</f>
        <v>Irrigated Potato - 276 Mkt Yield/ac (cwt)</v>
      </c>
      <c r="B57" s="240">
        <f>Summary!F$40-(Summary!$D$21+Summary!$D$30+Summary!$D$25+Summary!$D$26)</f>
        <v>-936.48400315170875</v>
      </c>
    </row>
    <row r="58" spans="1:8" x14ac:dyDescent="0.5">
      <c r="A58" s="150" t="str">
        <f>A45</f>
        <v>Irrigated Potato - 319 Mkt Yield/ac (cwt)</v>
      </c>
      <c r="B58" s="240">
        <f>Summary!G$40-(Summary!$D$21+Summary!$D$30+Summary!$D$25+Summary!$D$26)</f>
        <v>-345.23400315170875</v>
      </c>
    </row>
    <row r="59" spans="1:8" x14ac:dyDescent="0.5">
      <c r="A59" s="150" t="str">
        <f>A46</f>
        <v>Irrigated Potato - 361 Mkt Yield/ac (cwt)</v>
      </c>
      <c r="B59" s="240">
        <f>Summary!H$40-(Summary!$D$21+Summary!$D$30+Summary!$D$25+Summary!$D$26)</f>
        <v>232.26599684829125</v>
      </c>
    </row>
    <row r="60" spans="1:8" x14ac:dyDescent="0.5">
      <c r="A60" s="150" t="str">
        <f>A47</f>
        <v>Irrigated Potato - 404 Mkt Yield/ac (cwt)</v>
      </c>
      <c r="B60" s="240">
        <f>Summary!I$40-(Summary!$D$21+Summary!$D$30+Summary!$D$25+Summary!$D$26)</f>
        <v>823.51599684829125</v>
      </c>
    </row>
    <row r="61" spans="1:8" x14ac:dyDescent="0.5">
      <c r="B61" s="240">
        <f>AVERAGE(B57:B60)</f>
        <v>-56.484003151708748</v>
      </c>
    </row>
    <row r="62" spans="1:8" ht="34.799999999999997" x14ac:dyDescent="0.5">
      <c r="B62" s="199" t="s">
        <v>475</v>
      </c>
      <c r="C62" s="200" t="s">
        <v>476</v>
      </c>
      <c r="D62" s="200" t="s">
        <v>470</v>
      </c>
      <c r="E62" s="200" t="s">
        <v>471</v>
      </c>
      <c r="F62" s="200" t="s">
        <v>477</v>
      </c>
      <c r="G62" s="200" t="s">
        <v>473</v>
      </c>
      <c r="H62" s="200" t="s">
        <v>474</v>
      </c>
    </row>
    <row r="63" spans="1:8" x14ac:dyDescent="0.5">
      <c r="A63" s="150" t="s">
        <v>540</v>
      </c>
      <c r="B63" s="240">
        <f>AVERAGE(B53:B55)</f>
        <v>99.105097362116609</v>
      </c>
      <c r="C63" s="240">
        <f>AVERAGE(C53:C55)</f>
        <v>74.804999999999993</v>
      </c>
      <c r="F63" s="240">
        <f>AVERAGE(F53:F55)</f>
        <v>91.428333333333327</v>
      </c>
    </row>
    <row r="64" spans="1:8" x14ac:dyDescent="0.5">
      <c r="B64" s="240">
        <f>B63</f>
        <v>99.105097362116609</v>
      </c>
      <c r="C64" s="240">
        <f>C63</f>
        <v>74.804999999999993</v>
      </c>
      <c r="D64" s="240"/>
      <c r="E64" s="240"/>
      <c r="F64" s="240">
        <f>F63</f>
        <v>91.428333333333327</v>
      </c>
    </row>
    <row r="65" spans="1:6" x14ac:dyDescent="0.5">
      <c r="B65" s="240">
        <f>B63</f>
        <v>99.105097362116609</v>
      </c>
      <c r="C65" s="240">
        <f>C63</f>
        <v>74.804999999999993</v>
      </c>
      <c r="D65" s="240"/>
      <c r="E65" s="240"/>
      <c r="F65" s="240">
        <f>F63</f>
        <v>91.428333333333327</v>
      </c>
    </row>
    <row r="68" spans="1:6" x14ac:dyDescent="0.5">
      <c r="A68" s="152" t="str">
        <f>"Manitoba Crop Profitability ($/Acre) - "&amp;Introduction!I12</f>
        <v>Manitoba Crop Profitability ($/Acre) - 2022</v>
      </c>
    </row>
    <row r="69" spans="1:6" ht="45" x14ac:dyDescent="0.5">
      <c r="B69" s="242" t="s">
        <v>141</v>
      </c>
      <c r="C69" s="242" t="s">
        <v>145</v>
      </c>
      <c r="D69" s="242" t="s">
        <v>458</v>
      </c>
      <c r="E69" s="194" t="s">
        <v>463</v>
      </c>
    </row>
    <row r="70" spans="1:6" x14ac:dyDescent="0.5">
      <c r="A70" s="150" t="str">
        <f>A57</f>
        <v>Irrigated Potato - 276 Mkt Yield/ac (cwt)</v>
      </c>
      <c r="B70" s="240">
        <f>Summary!$D$21</f>
        <v>3532.99229375</v>
      </c>
      <c r="C70" s="240">
        <f>Summary!$D$27</f>
        <v>1282.0472649572648</v>
      </c>
      <c r="D70" s="240">
        <f>Summary!$D$30</f>
        <v>112</v>
      </c>
      <c r="E70" s="205">
        <f>Summary!F44</f>
        <v>-1132.0395587072653</v>
      </c>
    </row>
    <row r="71" spans="1:6" x14ac:dyDescent="0.5">
      <c r="A71" s="150" t="str">
        <f>A58</f>
        <v>Irrigated Potato - 319 Mkt Yield/ac (cwt)</v>
      </c>
      <c r="B71" s="240">
        <f>Summary!$D$21</f>
        <v>3532.99229375</v>
      </c>
      <c r="C71" s="240">
        <f>Summary!$D$27</f>
        <v>1282.0472649572648</v>
      </c>
      <c r="D71" s="240">
        <f>Summary!$D$30</f>
        <v>112</v>
      </c>
      <c r="E71" s="205">
        <f>Summary!G44</f>
        <v>-540.78955870726531</v>
      </c>
    </row>
    <row r="72" spans="1:6" x14ac:dyDescent="0.5">
      <c r="A72" s="150" t="str">
        <f>A59</f>
        <v>Irrigated Potato - 361 Mkt Yield/ac (cwt)</v>
      </c>
      <c r="B72" s="240">
        <f>Summary!$D$21</f>
        <v>3532.99229375</v>
      </c>
      <c r="C72" s="240">
        <f>Summary!$D$27</f>
        <v>1282.0472649572648</v>
      </c>
      <c r="D72" s="240">
        <f>Summary!$D$30</f>
        <v>112</v>
      </c>
      <c r="E72" s="205">
        <f>Summary!H44</f>
        <v>36.710441292734686</v>
      </c>
    </row>
    <row r="73" spans="1:6" x14ac:dyDescent="0.5">
      <c r="A73" s="150" t="str">
        <f>A60</f>
        <v>Irrigated Potato - 404 Mkt Yield/ac (cwt)</v>
      </c>
      <c r="B73" s="240">
        <f>Summary!$D$21</f>
        <v>3532.99229375</v>
      </c>
      <c r="C73" s="240">
        <f>Summary!$D$27</f>
        <v>1282.0472649572648</v>
      </c>
      <c r="D73" s="240">
        <f>Summary!$D$30</f>
        <v>112</v>
      </c>
      <c r="E73" s="205">
        <f>Summary!I44</f>
        <v>627.96044129273469</v>
      </c>
    </row>
    <row r="76" spans="1:6" x14ac:dyDescent="0.5">
      <c r="A76" s="152" t="str">
        <f>" Costs Not Covered By 80% AgriInsurance - "&amp;Introduction!I12</f>
        <v xml:space="preserve"> Costs Not Covered By 80% AgriInsurance - 2022</v>
      </c>
    </row>
    <row r="77" spans="1:6" ht="30" x14ac:dyDescent="0.5">
      <c r="B77" s="194" t="s">
        <v>141</v>
      </c>
      <c r="C77" s="194" t="s">
        <v>468</v>
      </c>
      <c r="D77" s="194" t="s">
        <v>148</v>
      </c>
    </row>
    <row r="78" spans="1:6" x14ac:dyDescent="0.5">
      <c r="A78" s="230" t="s">
        <v>538</v>
      </c>
      <c r="B78" s="245">
        <f>IF(Summary!D21-C7&lt;0,0,SUM(Summary!D21-C7))</f>
        <v>894.37229375000015</v>
      </c>
      <c r="C78" s="246">
        <f>IF(Summary!D21+Summary!D27-C7&lt;0,0,SUM(Summary!D21+Summary!D27-C7)-B78)</f>
        <v>1282.0472649572653</v>
      </c>
      <c r="D78" s="246">
        <f>IF(Summary!D21+Summary!D27+Summary!D30-C7&lt;0,0,SUM(Summary!D21+Summary!D27+Summary!D30-C7)-B78-C78)</f>
        <v>112</v>
      </c>
    </row>
    <row r="81" spans="1:4" x14ac:dyDescent="0.5">
      <c r="A81" s="150" t="str">
        <f>"Manitoba Breakeven Yields (per Acre) -  "&amp;Introduction!I12</f>
        <v>Manitoba Breakeven Yields (per Acre) -  2022</v>
      </c>
    </row>
    <row r="82" spans="1:4" x14ac:dyDescent="0.5">
      <c r="B82" s="56" t="s">
        <v>435</v>
      </c>
      <c r="C82" s="56" t="s">
        <v>437</v>
      </c>
      <c r="D82" s="150" t="s">
        <v>427</v>
      </c>
    </row>
    <row r="83" spans="1:4" x14ac:dyDescent="0.5">
      <c r="A83" s="150" t="str">
        <f>A27</f>
        <v>Irrigated Potato - 325 Gross Yield per acre (cwt)</v>
      </c>
      <c r="B83" s="150">
        <f>Summary!$D$52</f>
        <v>302.28811069518719</v>
      </c>
      <c r="C83" s="150">
        <f>Summary!$D$53</f>
        <v>421.56488202842911</v>
      </c>
      <c r="D83" s="150">
        <f>Input!D31</f>
        <v>325</v>
      </c>
    </row>
    <row r="84" spans="1:4" x14ac:dyDescent="0.5">
      <c r="A84" s="150" t="str">
        <f>A28</f>
        <v>Irrigated Potato - 375 Gross Yield per acre (cwt)</v>
      </c>
      <c r="B84" s="150">
        <f>Summary!$D$52</f>
        <v>302.28811069518719</v>
      </c>
      <c r="C84" s="150">
        <f>Summary!$D$53</f>
        <v>421.56488202842911</v>
      </c>
      <c r="D84" s="150">
        <f>Input!E31</f>
        <v>375</v>
      </c>
    </row>
    <row r="85" spans="1:4" x14ac:dyDescent="0.5">
      <c r="A85" s="150" t="str">
        <f>A29</f>
        <v>Irrigated Potato - 425 Gross Yield per acre (cwt)</v>
      </c>
      <c r="B85" s="150">
        <f>Summary!$D$52</f>
        <v>302.28811069518719</v>
      </c>
      <c r="C85" s="150">
        <f>Summary!$D$53</f>
        <v>421.56488202842911</v>
      </c>
      <c r="D85" s="150">
        <f>Input!F31</f>
        <v>425</v>
      </c>
    </row>
    <row r="86" spans="1:4" x14ac:dyDescent="0.5">
      <c r="A86" s="150" t="str">
        <f>A30</f>
        <v>Irrigated Potato - 475 Gross Yield per acre (cwt)</v>
      </c>
      <c r="B86" s="150">
        <f>Summary!$D$52</f>
        <v>302.28811069518719</v>
      </c>
      <c r="C86" s="150">
        <f>Summary!$D$53</f>
        <v>421.56488202842911</v>
      </c>
      <c r="D86" s="150">
        <f>Input!G31</f>
        <v>475</v>
      </c>
    </row>
    <row r="88" spans="1:4" x14ac:dyDescent="0.5">
      <c r="A88" s="150" t="str">
        <f>"Manitoba Breakeven Price ($/unit) - "&amp;Introduction!I12</f>
        <v>Manitoba Breakeven Price ($/unit) - 2022</v>
      </c>
    </row>
    <row r="90" spans="1:4" ht="45" x14ac:dyDescent="0.5">
      <c r="B90" s="243" t="s">
        <v>541</v>
      </c>
      <c r="C90" s="243" t="s">
        <v>542</v>
      </c>
      <c r="D90" s="150" t="s">
        <v>543</v>
      </c>
    </row>
    <row r="91" spans="1:4" x14ac:dyDescent="0.5">
      <c r="A91" s="244" t="str">
        <f>A83</f>
        <v>Irrigated Potato - 325 Gross Yield per acre (cwt)</v>
      </c>
      <c r="B91" s="238">
        <f>Summary!F$48</f>
        <v>12.800696716485508</v>
      </c>
      <c r="C91" s="238">
        <f>Summary!F$49</f>
        <v>17.851592604011831</v>
      </c>
      <c r="D91" s="238">
        <f>Summary!$D$37</f>
        <v>13.75</v>
      </c>
    </row>
    <row r="92" spans="1:4" x14ac:dyDescent="0.5">
      <c r="A92" s="150" t="str">
        <f>A84</f>
        <v>Irrigated Potato - 375 Gross Yield per acre (cwt)</v>
      </c>
      <c r="B92" s="238">
        <f>Summary!G$48</f>
        <v>11.075210952194357</v>
      </c>
      <c r="C92" s="238">
        <f>Summary!G$49</f>
        <v>15.445265074317446</v>
      </c>
      <c r="D92" s="238">
        <f>Summary!$D$37</f>
        <v>13.75</v>
      </c>
    </row>
    <row r="93" spans="1:4" x14ac:dyDescent="0.5">
      <c r="A93" s="150" t="str">
        <f>A85</f>
        <v>Irrigated Potato - 425 Gross Yield per acre (cwt)</v>
      </c>
      <c r="B93" s="238">
        <f>Summary!H$48</f>
        <v>9.7866822541551244</v>
      </c>
      <c r="C93" s="238">
        <f>Summary!H$49</f>
        <v>13.648309026889931</v>
      </c>
      <c r="D93" s="238">
        <f>Summary!$D$37</f>
        <v>13.75</v>
      </c>
    </row>
    <row r="94" spans="1:4" x14ac:dyDescent="0.5">
      <c r="A94" s="150" t="str">
        <f>A86</f>
        <v>Irrigated Potato - 475 Gross Yield per acre (cwt)</v>
      </c>
      <c r="B94" s="238">
        <f>Summary!I$48</f>
        <v>8.745030430074257</v>
      </c>
      <c r="C94" s="238">
        <f>Summary!I$49</f>
        <v>12.195642472047686</v>
      </c>
      <c r="D94" s="238">
        <f>Summary!$D$37</f>
        <v>13.75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DB259"/>
  <sheetViews>
    <sheetView zoomScale="70" zoomScaleNormal="70" workbookViewId="0">
      <selection activeCell="J2" sqref="J2"/>
    </sheetView>
  </sheetViews>
  <sheetFormatPr defaultColWidth="8" defaultRowHeight="17.399999999999999" x14ac:dyDescent="0.55000000000000004"/>
  <cols>
    <col min="1" max="1" width="1.6796875" style="56" customWidth="1"/>
    <col min="2" max="2" width="23.6796875" style="56" customWidth="1"/>
    <col min="3" max="7" width="8.31640625" style="56" customWidth="1"/>
    <col min="8" max="8" width="10.54296875" style="56" customWidth="1"/>
    <col min="9" max="19" width="8.31640625" style="56" customWidth="1"/>
    <col min="20" max="20" width="1.6796875" style="56" customWidth="1"/>
    <col min="21" max="21" width="11.31640625" style="55" customWidth="1"/>
    <col min="22" max="22" width="5.6796875" style="55" customWidth="1"/>
    <col min="23" max="23" width="15" style="55" customWidth="1"/>
    <col min="24" max="25" width="11.453125" style="55" customWidth="1"/>
    <col min="26" max="26" width="8" style="55"/>
    <col min="27" max="27" width="13" style="55" customWidth="1"/>
    <col min="28" max="29" width="11.453125" style="55" customWidth="1"/>
    <col min="30" max="30" width="8" style="55"/>
    <col min="31" max="31" width="13" style="55" customWidth="1"/>
    <col min="32" max="32" width="11.453125" style="55" customWidth="1"/>
    <col min="33" max="33" width="13.31640625" style="55" customWidth="1"/>
    <col min="34" max="34" width="8" style="55"/>
    <col min="35" max="35" width="13" style="55" customWidth="1"/>
    <col min="36" max="37" width="9.86328125" style="55" customWidth="1"/>
    <col min="38" max="38" width="11.453125" style="55" customWidth="1"/>
    <col min="39" max="39" width="8.6796875" style="55" bestFit="1" customWidth="1"/>
    <col min="40" max="40" width="13" style="55" customWidth="1"/>
    <col min="41" max="42" width="9.86328125" style="55" customWidth="1"/>
    <col min="43" max="43" width="14.76953125" style="55" customWidth="1"/>
    <col min="44" max="44" width="11.6796875" style="55" customWidth="1"/>
    <col min="45" max="45" width="8" style="55"/>
    <col min="46" max="46" width="13" style="55" customWidth="1"/>
    <col min="47" max="47" width="9.76953125" style="55" customWidth="1"/>
    <col min="48" max="48" width="12.08984375" style="55" customWidth="1"/>
    <col min="49" max="49" width="15.08984375" style="55" customWidth="1"/>
    <col min="50" max="50" width="11.86328125" style="55" customWidth="1"/>
    <col min="51" max="51" width="9.453125" style="55" customWidth="1"/>
    <col min="52" max="52" width="13" style="55" customWidth="1"/>
    <col min="53" max="55" width="10.6796875" style="55" customWidth="1"/>
    <col min="56" max="56" width="10.08984375" style="55" customWidth="1"/>
    <col min="57" max="70" width="8" style="55"/>
    <col min="71" max="71" width="8.54296875" style="55" bestFit="1" customWidth="1"/>
    <col min="72" max="16384" width="8" style="55"/>
  </cols>
  <sheetData>
    <row r="1" spans="1:56" x14ac:dyDescent="0.55000000000000004">
      <c r="A1" s="167"/>
      <c r="B1" s="149"/>
      <c r="C1" s="149"/>
      <c r="D1" s="149"/>
      <c r="E1" s="149"/>
      <c r="F1" s="149"/>
      <c r="G1" s="149"/>
      <c r="H1" s="149"/>
      <c r="I1" s="149"/>
      <c r="J1" s="149"/>
      <c r="K1" s="149"/>
      <c r="L1" s="149"/>
      <c r="M1" s="149"/>
      <c r="N1" s="149"/>
      <c r="O1" s="149"/>
      <c r="P1" s="149"/>
      <c r="Q1" s="149"/>
      <c r="R1" s="149"/>
      <c r="S1" s="149"/>
      <c r="T1" s="167"/>
    </row>
    <row r="2" spans="1:56" s="80" customFormat="1" ht="17.7" x14ac:dyDescent="0.6">
      <c r="A2" s="54"/>
      <c r="B2" s="3"/>
      <c r="C2" s="54"/>
      <c r="D2" s="54"/>
      <c r="E2" s="54"/>
      <c r="F2" s="54"/>
      <c r="G2" s="54"/>
      <c r="H2" s="54"/>
      <c r="I2" s="54"/>
      <c r="J2" s="54"/>
      <c r="K2" s="54"/>
      <c r="L2" s="54"/>
      <c r="M2" s="54"/>
      <c r="N2" s="54"/>
      <c r="O2" s="54"/>
      <c r="P2" s="54"/>
      <c r="Q2" s="54"/>
      <c r="R2" s="54"/>
      <c r="S2" s="54"/>
      <c r="T2" s="54"/>
    </row>
    <row r="3" spans="1:56" ht="8.1" customHeight="1" thickBot="1" x14ac:dyDescent="0.6"/>
    <row r="4" spans="1:56" ht="17.7" thickBot="1" x14ac:dyDescent="0.6">
      <c r="H4" s="168" t="s">
        <v>487</v>
      </c>
    </row>
    <row r="5" spans="1:56" ht="17.7" thickBot="1" x14ac:dyDescent="0.6">
      <c r="A5" s="169"/>
      <c r="B5" s="170" t="s">
        <v>421</v>
      </c>
      <c r="C5" s="169"/>
      <c r="D5" s="169"/>
      <c r="E5" s="169"/>
      <c r="F5" s="169"/>
      <c r="G5" s="169"/>
      <c r="H5" s="169"/>
      <c r="I5" s="169"/>
      <c r="J5" s="169"/>
      <c r="K5" s="169"/>
      <c r="L5" s="170" t="s">
        <v>422</v>
      </c>
      <c r="M5" s="169"/>
      <c r="N5" s="169"/>
      <c r="O5" s="169"/>
      <c r="P5" s="169"/>
      <c r="Q5" s="169"/>
      <c r="R5" s="169"/>
      <c r="S5" s="169"/>
      <c r="U5" s="56"/>
      <c r="W5" s="171" t="str">
        <f>H4</f>
        <v>Manitoba</v>
      </c>
      <c r="X5" s="171"/>
      <c r="AD5" s="56" t="s">
        <v>423</v>
      </c>
      <c r="AL5" s="54" t="s">
        <v>570</v>
      </c>
    </row>
    <row r="6" spans="1:56" ht="35.4" thickBot="1" x14ac:dyDescent="0.6">
      <c r="C6" s="54" t="s">
        <v>424</v>
      </c>
      <c r="D6" s="54" t="s">
        <v>425</v>
      </c>
      <c r="E6" s="54" t="s">
        <v>426</v>
      </c>
      <c r="F6" s="54" t="s">
        <v>223</v>
      </c>
      <c r="H6" s="56" t="s">
        <v>427</v>
      </c>
      <c r="I6" s="56" t="s">
        <v>428</v>
      </c>
      <c r="J6" s="56" t="s">
        <v>429</v>
      </c>
      <c r="K6" s="54" t="s">
        <v>430</v>
      </c>
      <c r="L6" s="56" t="s">
        <v>431</v>
      </c>
      <c r="M6" s="56" t="s">
        <v>432</v>
      </c>
      <c r="N6" s="56" t="s">
        <v>433</v>
      </c>
      <c r="O6" s="172" t="s">
        <v>434</v>
      </c>
      <c r="Q6" s="56" t="s">
        <v>435</v>
      </c>
      <c r="R6" s="56" t="s">
        <v>436</v>
      </c>
      <c r="S6" s="56" t="s">
        <v>437</v>
      </c>
      <c r="T6" s="56" t="s">
        <v>438</v>
      </c>
      <c r="U6" s="56"/>
      <c r="V6" s="56"/>
      <c r="W6" s="168" t="s">
        <v>420</v>
      </c>
      <c r="X6" s="173" t="s">
        <v>568</v>
      </c>
      <c r="Y6" s="55" t="s">
        <v>439</v>
      </c>
      <c r="Z6" s="55" t="s">
        <v>440</v>
      </c>
      <c r="AA6" s="56" t="s">
        <v>441</v>
      </c>
      <c r="AB6" s="56" t="s">
        <v>442</v>
      </c>
      <c r="AC6" s="56"/>
      <c r="AD6" s="56" t="s">
        <v>141</v>
      </c>
      <c r="AE6" s="56" t="s">
        <v>443</v>
      </c>
      <c r="AF6" s="56" t="s">
        <v>223</v>
      </c>
      <c r="AG6" s="56" t="s">
        <v>223</v>
      </c>
      <c r="AH6" s="56" t="s">
        <v>444</v>
      </c>
      <c r="AI6" s="56" t="s">
        <v>445</v>
      </c>
      <c r="AJ6" s="56" t="s">
        <v>446</v>
      </c>
      <c r="AL6" s="56" t="s">
        <v>431</v>
      </c>
      <c r="AM6" s="56" t="s">
        <v>432</v>
      </c>
      <c r="AN6" s="56" t="s">
        <v>433</v>
      </c>
      <c r="AP6" s="174" t="s">
        <v>447</v>
      </c>
      <c r="AQ6" s="175" t="s">
        <v>448</v>
      </c>
      <c r="AR6" s="175" t="s">
        <v>419</v>
      </c>
      <c r="AS6" s="175"/>
      <c r="AT6" s="175" t="s">
        <v>449</v>
      </c>
      <c r="AU6" s="175" t="s">
        <v>450</v>
      </c>
      <c r="AV6" s="175" t="s">
        <v>451</v>
      </c>
      <c r="AX6" s="175" t="s">
        <v>452</v>
      </c>
      <c r="AY6" s="176">
        <v>0.18</v>
      </c>
      <c r="AZ6" s="176" t="s">
        <v>453</v>
      </c>
      <c r="BA6" s="176" t="s">
        <v>454</v>
      </c>
      <c r="BB6" s="176">
        <v>0.22</v>
      </c>
      <c r="BC6" s="176" t="s">
        <v>455</v>
      </c>
      <c r="BD6" s="176" t="s">
        <v>456</v>
      </c>
    </row>
    <row r="7" spans="1:56" ht="18" customHeight="1" x14ac:dyDescent="0.55000000000000004">
      <c r="B7" s="177" t="s">
        <v>412</v>
      </c>
      <c r="C7" s="178">
        <v>244.95043592838095</v>
      </c>
      <c r="D7" s="178">
        <v>134.73952500000001</v>
      </c>
      <c r="E7" s="178">
        <v>30</v>
      </c>
      <c r="F7" s="178">
        <v>409.68996092838097</v>
      </c>
      <c r="G7" s="179"/>
      <c r="H7" s="180">
        <v>40</v>
      </c>
      <c r="I7" s="181">
        <v>11.25</v>
      </c>
      <c r="J7" s="182">
        <f t="shared" ref="J7:J23" si="0">SUM(H7*I7)</f>
        <v>450</v>
      </c>
      <c r="K7" s="183">
        <v>1</v>
      </c>
      <c r="L7" s="182">
        <f t="shared" ref="L7:L23" si="1">SUM(J7-C7)</f>
        <v>205.04956407161905</v>
      </c>
      <c r="M7" s="182">
        <f t="shared" ref="M7:M23" si="2">SUM(J7-(C7+D7))</f>
        <v>70.31003907161903</v>
      </c>
      <c r="N7" s="182">
        <f t="shared" ref="N7:N23" si="3">SUM(J7-F7)</f>
        <v>40.31003907161903</v>
      </c>
      <c r="O7" s="180">
        <f t="shared" ref="O7:O23" si="4">RANK(N7,$N$7:$N$23)</f>
        <v>3</v>
      </c>
      <c r="P7" s="180">
        <v>1</v>
      </c>
      <c r="Q7" s="184">
        <f t="shared" ref="Q7:Q23" si="5">ROUND(C7/I7,1)</f>
        <v>21.8</v>
      </c>
      <c r="R7" s="184">
        <f t="shared" ref="R7:R23" si="6">ROUND((C7+D7)/I7,1)</f>
        <v>33.799999999999997</v>
      </c>
      <c r="S7" s="184">
        <f t="shared" ref="S7:S23" si="7">ROUND(F7/I7,1)</f>
        <v>36.4</v>
      </c>
      <c r="T7" s="185">
        <f t="shared" ref="T7:T23" si="8">SUM(H7/S7)</f>
        <v>1.098901098901099</v>
      </c>
      <c r="U7" s="179"/>
      <c r="V7" s="179"/>
      <c r="W7" s="182">
        <v>330.42600000000004</v>
      </c>
      <c r="X7" s="181">
        <v>10.55</v>
      </c>
      <c r="Y7" s="185">
        <f t="shared" ref="Y7:Y23" si="9">SUM(W7/C7)</f>
        <v>1.3489504468430935</v>
      </c>
      <c r="Z7" s="185">
        <f t="shared" ref="Z7:Z23" si="10">SUM(W7/F7)</f>
        <v>0.80652696309969563</v>
      </c>
      <c r="AA7" s="178">
        <v>7.4649999999999999</v>
      </c>
      <c r="AB7" s="186">
        <f t="shared" ref="AB7:AB23" si="11">SUM(AA7/W7)</f>
        <v>2.2592047841271567E-2</v>
      </c>
      <c r="AC7" s="186"/>
      <c r="AD7" s="182">
        <f t="shared" ref="AD7:AD23" si="12">IF(C7-W7&lt;0,0,SUM(C7-W7))</f>
        <v>0</v>
      </c>
      <c r="AE7" s="182">
        <f t="shared" ref="AE7:AE23" si="13">IF(C7+D7-W7&lt;0,0,SUM(C7+D7-W7)-AD7)</f>
        <v>49.263960928380925</v>
      </c>
      <c r="AF7" s="182">
        <f t="shared" ref="AF7:AF23" si="14">IF(C7+D7+E7-W7&lt;0,0,SUM(C7+D7+E7-W7)-AE7-AD7)</f>
        <v>30</v>
      </c>
      <c r="AG7" s="182">
        <f t="shared" ref="AG7:AG23" si="15">SUM(F7-W7)</f>
        <v>79.263960928380925</v>
      </c>
      <c r="AH7" s="178">
        <f t="shared" ref="AH7:AH23" si="16">SUM(C7/H7)</f>
        <v>6.1237608982095235</v>
      </c>
      <c r="AI7" s="178">
        <f t="shared" ref="AI7:AI23" si="17">SUM((C7+D7)/H7)</f>
        <v>9.4922490232095242</v>
      </c>
      <c r="AJ7" s="178">
        <f t="shared" ref="AJ7:AJ23" si="18">SUM(F7/H7)</f>
        <v>10.242249023209524</v>
      </c>
      <c r="AK7" s="187"/>
      <c r="AL7" s="188">
        <v>139.79956407161905</v>
      </c>
      <c r="AM7" s="188">
        <v>5.0600390716190304</v>
      </c>
      <c r="AN7" s="188">
        <v>-24.93996092838097</v>
      </c>
      <c r="AP7" s="182">
        <f t="shared" ref="AP7:AP23" si="19">J7/F7</f>
        <v>1.0983915714709587</v>
      </c>
      <c r="AQ7" s="186">
        <v>3.6248574651538322E-2</v>
      </c>
      <c r="AR7" s="186">
        <f t="shared" ref="AR7:AR23" si="20">N7/F7</f>
        <v>9.8391571470958589E-2</v>
      </c>
      <c r="AS7" s="189"/>
      <c r="AT7" s="190">
        <v>8.2606500000000018</v>
      </c>
      <c r="AU7" s="190">
        <v>1.9815990232095224</v>
      </c>
      <c r="AV7" s="190">
        <v>1.0077509767904758</v>
      </c>
      <c r="AX7" s="190">
        <v>104.99003907161904</v>
      </c>
      <c r="AY7" s="190">
        <v>81</v>
      </c>
      <c r="AZ7" s="190">
        <v>23.990039071619037</v>
      </c>
      <c r="BA7" s="191">
        <v>5.63133289638083E-2</v>
      </c>
      <c r="BB7" s="190">
        <v>99</v>
      </c>
      <c r="BC7" s="190">
        <v>5.9900390716190373</v>
      </c>
      <c r="BD7" s="191">
        <v>1.3490776330995947E-2</v>
      </c>
    </row>
    <row r="8" spans="1:56" ht="18" customHeight="1" x14ac:dyDescent="0.55000000000000004">
      <c r="B8" s="177" t="s">
        <v>478</v>
      </c>
      <c r="C8" s="178">
        <v>199.48883328165601</v>
      </c>
      <c r="D8" s="178">
        <v>136.83638437500002</v>
      </c>
      <c r="E8" s="178">
        <v>30</v>
      </c>
      <c r="F8" s="178">
        <v>366.32521765665604</v>
      </c>
      <c r="G8" s="179"/>
      <c r="H8" s="180">
        <v>55</v>
      </c>
      <c r="I8" s="181">
        <v>6.85</v>
      </c>
      <c r="J8" s="182">
        <f t="shared" si="0"/>
        <v>376.75</v>
      </c>
      <c r="K8" s="183">
        <v>2</v>
      </c>
      <c r="L8" s="182">
        <f t="shared" si="1"/>
        <v>177.26116671834399</v>
      </c>
      <c r="M8" s="182">
        <f t="shared" si="2"/>
        <v>40.424782343343963</v>
      </c>
      <c r="N8" s="182">
        <f t="shared" si="3"/>
        <v>10.424782343343963</v>
      </c>
      <c r="O8" s="180">
        <f t="shared" si="4"/>
        <v>9</v>
      </c>
      <c r="P8" s="180">
        <v>2</v>
      </c>
      <c r="Q8" s="184">
        <f t="shared" si="5"/>
        <v>29.1</v>
      </c>
      <c r="R8" s="184">
        <f t="shared" si="6"/>
        <v>49.1</v>
      </c>
      <c r="S8" s="184">
        <f t="shared" si="7"/>
        <v>53.5</v>
      </c>
      <c r="T8" s="185">
        <f t="shared" si="8"/>
        <v>1.02803738317757</v>
      </c>
      <c r="U8" s="179"/>
      <c r="V8" s="179"/>
      <c r="W8" s="182">
        <v>273.99880000000002</v>
      </c>
      <c r="X8" s="181">
        <v>6.53</v>
      </c>
      <c r="Y8" s="185">
        <f t="shared" si="9"/>
        <v>1.3735044488086421</v>
      </c>
      <c r="Z8" s="185">
        <f t="shared" si="10"/>
        <v>0.7479659788445403</v>
      </c>
      <c r="AA8" s="178">
        <v>7.7024999999999988</v>
      </c>
      <c r="AB8" s="186">
        <f t="shared" si="11"/>
        <v>2.8111436984395544E-2</v>
      </c>
      <c r="AC8" s="186"/>
      <c r="AD8" s="182">
        <f t="shared" si="12"/>
        <v>0</v>
      </c>
      <c r="AE8" s="182">
        <f t="shared" si="13"/>
        <v>62.32641765665602</v>
      </c>
      <c r="AF8" s="182">
        <f t="shared" si="14"/>
        <v>30</v>
      </c>
      <c r="AG8" s="182">
        <f t="shared" si="15"/>
        <v>92.32641765665602</v>
      </c>
      <c r="AH8" s="178">
        <f t="shared" si="16"/>
        <v>3.6270696960301092</v>
      </c>
      <c r="AI8" s="178">
        <f t="shared" si="17"/>
        <v>6.1150039573937462</v>
      </c>
      <c r="AJ8" s="178">
        <f t="shared" si="18"/>
        <v>6.6604585028482912</v>
      </c>
      <c r="AK8" s="187"/>
      <c r="AL8" s="188">
        <v>121.09116671834397</v>
      </c>
      <c r="AM8" s="188">
        <v>-15.745217656656052</v>
      </c>
      <c r="AN8" s="188">
        <v>-45.745217656656052</v>
      </c>
      <c r="AP8" s="182">
        <f t="shared" si="19"/>
        <v>1.0284577251056595</v>
      </c>
      <c r="AQ8" s="186">
        <v>2.8460783229175491E-2</v>
      </c>
      <c r="AR8" s="186">
        <f t="shared" si="20"/>
        <v>2.8457725105659398E-2</v>
      </c>
      <c r="AS8" s="189"/>
      <c r="AT8" s="190">
        <v>4.9817963636363638</v>
      </c>
      <c r="AU8" s="190">
        <v>1.6786621392119274</v>
      </c>
      <c r="AV8" s="190">
        <v>0.18954149715170843</v>
      </c>
      <c r="AX8" s="190">
        <v>75.104782343344027</v>
      </c>
      <c r="AY8" s="190">
        <v>67.814999999999998</v>
      </c>
      <c r="AZ8" s="190">
        <v>7.2897823433440294</v>
      </c>
      <c r="BA8" s="191">
        <v>1.9730899282148197E-2</v>
      </c>
      <c r="BB8" s="190">
        <v>82.885000000000005</v>
      </c>
      <c r="BC8" s="190">
        <v>-7.780217656655978</v>
      </c>
      <c r="BD8" s="191">
        <v>-2.0233046193531855E-2</v>
      </c>
    </row>
    <row r="9" spans="1:56" ht="18" customHeight="1" x14ac:dyDescent="0.55000000000000004">
      <c r="B9" s="177" t="s">
        <v>413</v>
      </c>
      <c r="C9" s="178">
        <v>202.72000432861327</v>
      </c>
      <c r="D9" s="178">
        <v>134.73952500000001</v>
      </c>
      <c r="E9" s="178">
        <v>30</v>
      </c>
      <c r="F9" s="178">
        <v>367.45952932861326</v>
      </c>
      <c r="G9" s="179"/>
      <c r="H9" s="180">
        <v>40</v>
      </c>
      <c r="I9" s="181">
        <v>10.5</v>
      </c>
      <c r="J9" s="182">
        <f t="shared" si="0"/>
        <v>420</v>
      </c>
      <c r="K9" s="183">
        <v>3</v>
      </c>
      <c r="L9" s="182">
        <f t="shared" si="1"/>
        <v>217.27999567138673</v>
      </c>
      <c r="M9" s="182">
        <f t="shared" si="2"/>
        <v>82.540470671386743</v>
      </c>
      <c r="N9" s="182">
        <f t="shared" si="3"/>
        <v>52.540470671386743</v>
      </c>
      <c r="O9" s="180">
        <f t="shared" si="4"/>
        <v>2</v>
      </c>
      <c r="P9" s="180">
        <v>3</v>
      </c>
      <c r="Q9" s="184">
        <f t="shared" si="5"/>
        <v>19.3</v>
      </c>
      <c r="R9" s="184">
        <f t="shared" si="6"/>
        <v>32.1</v>
      </c>
      <c r="S9" s="184">
        <f t="shared" si="7"/>
        <v>35</v>
      </c>
      <c r="T9" s="185">
        <f t="shared" si="8"/>
        <v>1.1428571428571428</v>
      </c>
      <c r="U9" s="179"/>
      <c r="V9" s="179"/>
      <c r="W9" s="182">
        <v>282.65039999999999</v>
      </c>
      <c r="X9" s="181">
        <v>10.61</v>
      </c>
      <c r="Y9" s="185">
        <f t="shared" si="9"/>
        <v>1.3942896308438211</v>
      </c>
      <c r="Z9" s="185">
        <f t="shared" si="10"/>
        <v>0.76920144244573452</v>
      </c>
      <c r="AA9" s="178">
        <v>12.662499999999998</v>
      </c>
      <c r="AB9" s="186">
        <f t="shared" si="11"/>
        <v>4.4799158253446651E-2</v>
      </c>
      <c r="AC9" s="186"/>
      <c r="AD9" s="182">
        <f t="shared" si="12"/>
        <v>0</v>
      </c>
      <c r="AE9" s="182">
        <f t="shared" si="13"/>
        <v>54.809129328613267</v>
      </c>
      <c r="AF9" s="182">
        <f t="shared" si="14"/>
        <v>30</v>
      </c>
      <c r="AG9" s="182">
        <f t="shared" si="15"/>
        <v>84.809129328613267</v>
      </c>
      <c r="AH9" s="178">
        <f t="shared" si="16"/>
        <v>5.0680001082153314</v>
      </c>
      <c r="AI9" s="178">
        <f t="shared" si="17"/>
        <v>8.4364882332153321</v>
      </c>
      <c r="AJ9" s="178">
        <f t="shared" si="18"/>
        <v>9.1864882332153321</v>
      </c>
      <c r="AK9" s="187"/>
      <c r="AL9" s="188">
        <v>156.37999567138675</v>
      </c>
      <c r="AM9" s="188">
        <v>21.640470671386765</v>
      </c>
      <c r="AN9" s="188">
        <v>-8.3595293286132346</v>
      </c>
      <c r="AP9" s="182">
        <f t="shared" si="19"/>
        <v>1.142983013033799</v>
      </c>
      <c r="AQ9" s="186">
        <v>3.9676194067425237E-2</v>
      </c>
      <c r="AR9" s="186">
        <f t="shared" si="20"/>
        <v>0.14298301303379896</v>
      </c>
      <c r="AS9" s="189"/>
      <c r="AT9" s="190">
        <v>7.0662599999999998</v>
      </c>
      <c r="AU9" s="190">
        <v>2.1202282332153324</v>
      </c>
      <c r="AV9" s="190">
        <v>1.3135117667846679</v>
      </c>
      <c r="AX9" s="190">
        <v>117.22047067138675</v>
      </c>
      <c r="AY9" s="190">
        <v>75.599999999999994</v>
      </c>
      <c r="AZ9" s="190">
        <v>41.620470671386755</v>
      </c>
      <c r="BA9" s="191">
        <v>0.10999662361554557</v>
      </c>
      <c r="BB9" s="190">
        <v>92.4</v>
      </c>
      <c r="BC9" s="190">
        <v>24.820470671386744</v>
      </c>
      <c r="BD9" s="191">
        <v>6.2808088044325722E-2</v>
      </c>
    </row>
    <row r="10" spans="1:56" ht="18" customHeight="1" x14ac:dyDescent="0.55000000000000004">
      <c r="B10" s="177" t="s">
        <v>507</v>
      </c>
      <c r="C10" s="178">
        <v>178.38326176678888</v>
      </c>
      <c r="D10" s="178">
        <v>139.35261562500003</v>
      </c>
      <c r="E10" s="178">
        <v>30</v>
      </c>
      <c r="F10" s="178">
        <v>347.7358773917889</v>
      </c>
      <c r="G10" s="179"/>
      <c r="H10" s="180">
        <v>73</v>
      </c>
      <c r="I10" s="181">
        <v>3.85</v>
      </c>
      <c r="J10" s="182">
        <f t="shared" si="0"/>
        <v>281.05</v>
      </c>
      <c r="K10" s="183">
        <v>4</v>
      </c>
      <c r="L10" s="182">
        <f t="shared" si="1"/>
        <v>102.66673823321113</v>
      </c>
      <c r="M10" s="182">
        <f t="shared" si="2"/>
        <v>-36.685877391788893</v>
      </c>
      <c r="N10" s="182">
        <f t="shared" si="3"/>
        <v>-66.685877391788893</v>
      </c>
      <c r="O10" s="180">
        <f t="shared" si="4"/>
        <v>17</v>
      </c>
      <c r="P10" s="180">
        <v>4</v>
      </c>
      <c r="Q10" s="184">
        <f t="shared" si="5"/>
        <v>46.3</v>
      </c>
      <c r="R10" s="184">
        <f t="shared" si="6"/>
        <v>82.5</v>
      </c>
      <c r="S10" s="184">
        <f t="shared" si="7"/>
        <v>90.3</v>
      </c>
      <c r="T10" s="185">
        <f t="shared" si="8"/>
        <v>0.80841638981173869</v>
      </c>
      <c r="U10" s="179"/>
      <c r="V10" s="179"/>
      <c r="W10" s="182">
        <v>219.15120000000002</v>
      </c>
      <c r="X10" s="181">
        <v>3.81</v>
      </c>
      <c r="Y10" s="185">
        <f t="shared" si="9"/>
        <v>1.2285412758429628</v>
      </c>
      <c r="Z10" s="185">
        <f t="shared" si="10"/>
        <v>0.63022314994861917</v>
      </c>
      <c r="AA10" s="178">
        <v>8.8099999999999987</v>
      </c>
      <c r="AB10" s="186">
        <f t="shared" si="11"/>
        <v>4.0200555598144103E-2</v>
      </c>
      <c r="AC10" s="186"/>
      <c r="AD10" s="182">
        <f t="shared" si="12"/>
        <v>0</v>
      </c>
      <c r="AE10" s="182">
        <f t="shared" si="13"/>
        <v>98.584677391788887</v>
      </c>
      <c r="AF10" s="182">
        <f t="shared" si="14"/>
        <v>30</v>
      </c>
      <c r="AG10" s="182">
        <f t="shared" si="15"/>
        <v>128.58467739178889</v>
      </c>
      <c r="AH10" s="178">
        <f t="shared" si="16"/>
        <v>2.4436063255724503</v>
      </c>
      <c r="AI10" s="178">
        <f t="shared" si="17"/>
        <v>4.3525462656409442</v>
      </c>
      <c r="AJ10" s="178">
        <f t="shared" si="18"/>
        <v>4.7635051697505331</v>
      </c>
      <c r="AK10" s="187"/>
      <c r="AL10" s="188">
        <v>60.701738233211131</v>
      </c>
      <c r="AM10" s="188">
        <v>-78.650877391788896</v>
      </c>
      <c r="AN10" s="188">
        <v>-108.6508773917889</v>
      </c>
      <c r="AP10" s="182">
        <f t="shared" si="19"/>
        <v>0.80822836604617909</v>
      </c>
      <c r="AQ10" s="186">
        <v>7.5554448274231089E-3</v>
      </c>
      <c r="AR10" s="186">
        <f t="shared" si="20"/>
        <v>-0.19177163395382091</v>
      </c>
      <c r="AS10" s="189"/>
      <c r="AT10" s="190">
        <v>3.0020712328767125</v>
      </c>
      <c r="AU10" s="190">
        <v>1.7614339368738205</v>
      </c>
      <c r="AV10" s="190">
        <v>-0.91350516975053297</v>
      </c>
      <c r="AX10" s="190">
        <v>-2.0058773917888857</v>
      </c>
      <c r="AY10" s="190">
        <v>50.588999999999999</v>
      </c>
      <c r="AZ10" s="190">
        <v>-52.594877391788884</v>
      </c>
      <c r="BA10" s="191">
        <v>-0.15763729928341846</v>
      </c>
      <c r="BB10" s="190">
        <v>61.831000000000003</v>
      </c>
      <c r="BC10" s="190">
        <v>-63.836877391788889</v>
      </c>
      <c r="BD10" s="191">
        <v>-0.18509511836042017</v>
      </c>
    </row>
    <row r="11" spans="1:56" ht="18" customHeight="1" x14ac:dyDescent="0.55000000000000004">
      <c r="B11" s="177" t="s">
        <v>508</v>
      </c>
      <c r="C11" s="178">
        <v>157.37599038727407</v>
      </c>
      <c r="D11" s="178">
        <v>143.82591562500002</v>
      </c>
      <c r="E11" s="178">
        <v>30</v>
      </c>
      <c r="F11" s="178">
        <v>331.20190601227409</v>
      </c>
      <c r="G11" s="179"/>
      <c r="H11" s="180">
        <v>105</v>
      </c>
      <c r="I11" s="181">
        <v>3.25</v>
      </c>
      <c r="J11" s="182">
        <f t="shared" si="0"/>
        <v>341.25</v>
      </c>
      <c r="K11" s="183">
        <v>5</v>
      </c>
      <c r="L11" s="182">
        <f t="shared" si="1"/>
        <v>183.87400961272593</v>
      </c>
      <c r="M11" s="182">
        <f t="shared" si="2"/>
        <v>40.048093987725906</v>
      </c>
      <c r="N11" s="182">
        <f t="shared" si="3"/>
        <v>10.048093987725906</v>
      </c>
      <c r="O11" s="180">
        <f t="shared" si="4"/>
        <v>10</v>
      </c>
      <c r="P11" s="180">
        <v>5</v>
      </c>
      <c r="Q11" s="184">
        <f t="shared" si="5"/>
        <v>48.4</v>
      </c>
      <c r="R11" s="184">
        <f t="shared" si="6"/>
        <v>92.7</v>
      </c>
      <c r="S11" s="184">
        <f t="shared" si="7"/>
        <v>101.9</v>
      </c>
      <c r="T11" s="185">
        <f t="shared" si="8"/>
        <v>1.0304219823356231</v>
      </c>
      <c r="U11" s="179"/>
      <c r="V11" s="179"/>
      <c r="W11" s="182">
        <v>262.596</v>
      </c>
      <c r="X11" s="181">
        <v>3.16</v>
      </c>
      <c r="Y11" s="185">
        <f t="shared" si="9"/>
        <v>1.6685899758520875</v>
      </c>
      <c r="Z11" s="185">
        <f t="shared" si="10"/>
        <v>0.79285775604886888</v>
      </c>
      <c r="AA11" s="178">
        <v>8.9199999999999982</v>
      </c>
      <c r="AB11" s="186">
        <f t="shared" si="11"/>
        <v>3.3968529604411331E-2</v>
      </c>
      <c r="AC11" s="186"/>
      <c r="AD11" s="182">
        <f t="shared" si="12"/>
        <v>0</v>
      </c>
      <c r="AE11" s="182">
        <f t="shared" si="13"/>
        <v>38.60590601227409</v>
      </c>
      <c r="AF11" s="182">
        <f t="shared" si="14"/>
        <v>30</v>
      </c>
      <c r="AG11" s="182">
        <f t="shared" si="15"/>
        <v>68.60590601227409</v>
      </c>
      <c r="AH11" s="178">
        <f t="shared" si="16"/>
        <v>1.4988189560692768</v>
      </c>
      <c r="AI11" s="178">
        <f t="shared" si="17"/>
        <v>2.8685895810692772</v>
      </c>
      <c r="AJ11" s="178">
        <f t="shared" si="18"/>
        <v>3.1543038667835628</v>
      </c>
      <c r="AK11" s="187"/>
      <c r="AL11" s="188">
        <v>135.12400961272593</v>
      </c>
      <c r="AM11" s="188">
        <v>-8.7019060122740939</v>
      </c>
      <c r="AN11" s="188">
        <v>-38.701906012274094</v>
      </c>
      <c r="AP11" s="182">
        <f t="shared" si="19"/>
        <v>1.030338273437815</v>
      </c>
      <c r="AQ11" s="186">
        <v>3.0314054596918875E-2</v>
      </c>
      <c r="AR11" s="186">
        <f t="shared" si="20"/>
        <v>3.0338273437815092E-2</v>
      </c>
      <c r="AS11" s="189"/>
      <c r="AT11" s="190">
        <v>2.5009142857142859</v>
      </c>
      <c r="AU11" s="190">
        <v>0.65338958106927691</v>
      </c>
      <c r="AV11" s="190">
        <v>9.5696133216437218E-2</v>
      </c>
      <c r="AX11" s="190">
        <v>74.728093987725913</v>
      </c>
      <c r="AY11" s="190">
        <v>61.424999999999997</v>
      </c>
      <c r="AZ11" s="190">
        <v>13.303093987725916</v>
      </c>
      <c r="BA11" s="191">
        <v>4.0564779675732084E-2</v>
      </c>
      <c r="BB11" s="190">
        <v>75.075000000000003</v>
      </c>
      <c r="BC11" s="190">
        <v>-0.3469060122740899</v>
      </c>
      <c r="BD11" s="191">
        <v>-1.0155420209269257E-3</v>
      </c>
    </row>
    <row r="12" spans="1:56" ht="18" customHeight="1" x14ac:dyDescent="0.55000000000000004">
      <c r="B12" s="177" t="s">
        <v>509</v>
      </c>
      <c r="C12" s="178">
        <v>337.88685009746649</v>
      </c>
      <c r="D12" s="178">
        <v>156.98537812500001</v>
      </c>
      <c r="E12" s="178">
        <v>30</v>
      </c>
      <c r="F12" s="178">
        <v>524.87222822246645</v>
      </c>
      <c r="G12" s="179"/>
      <c r="H12" s="180">
        <v>141</v>
      </c>
      <c r="I12" s="181">
        <v>4</v>
      </c>
      <c r="J12" s="182">
        <f t="shared" si="0"/>
        <v>564</v>
      </c>
      <c r="K12" s="183">
        <v>6</v>
      </c>
      <c r="L12" s="182">
        <f t="shared" si="1"/>
        <v>226.11314990253351</v>
      </c>
      <c r="M12" s="182">
        <f t="shared" si="2"/>
        <v>69.127771777533496</v>
      </c>
      <c r="N12" s="182">
        <f t="shared" si="3"/>
        <v>39.127771777533553</v>
      </c>
      <c r="O12" s="180">
        <f t="shared" si="4"/>
        <v>4</v>
      </c>
      <c r="P12" s="180">
        <v>7</v>
      </c>
      <c r="Q12" s="184">
        <f t="shared" si="5"/>
        <v>84.5</v>
      </c>
      <c r="R12" s="184">
        <f t="shared" si="6"/>
        <v>123.7</v>
      </c>
      <c r="S12" s="184">
        <f t="shared" si="7"/>
        <v>131.19999999999999</v>
      </c>
      <c r="T12" s="185">
        <f t="shared" si="8"/>
        <v>1.0746951219512195</v>
      </c>
      <c r="U12" s="179"/>
      <c r="V12" s="179"/>
      <c r="W12" s="182">
        <v>345.94560000000001</v>
      </c>
      <c r="X12" s="181">
        <v>4.32</v>
      </c>
      <c r="Y12" s="185">
        <f t="shared" si="9"/>
        <v>1.0238504395782462</v>
      </c>
      <c r="Z12" s="185">
        <f t="shared" si="10"/>
        <v>0.65910440941327797</v>
      </c>
      <c r="AA12" s="178">
        <v>28.31</v>
      </c>
      <c r="AB12" s="186">
        <f t="shared" si="11"/>
        <v>8.1833675583675575E-2</v>
      </c>
      <c r="AC12" s="186"/>
      <c r="AD12" s="182">
        <f t="shared" si="12"/>
        <v>0</v>
      </c>
      <c r="AE12" s="182">
        <f t="shared" si="13"/>
        <v>148.92662822246649</v>
      </c>
      <c r="AF12" s="182">
        <f t="shared" si="14"/>
        <v>29.999999999999943</v>
      </c>
      <c r="AG12" s="182">
        <f t="shared" si="15"/>
        <v>178.92662822246643</v>
      </c>
      <c r="AH12" s="178">
        <f t="shared" si="16"/>
        <v>2.3963606389891239</v>
      </c>
      <c r="AI12" s="178">
        <f t="shared" si="17"/>
        <v>3.5097321150529539</v>
      </c>
      <c r="AJ12" s="178">
        <f t="shared" si="18"/>
        <v>3.7224980724997621</v>
      </c>
      <c r="AK12" s="187"/>
      <c r="AL12" s="188">
        <v>144.51314990253354</v>
      </c>
      <c r="AM12" s="188">
        <v>-12.47222822246647</v>
      </c>
      <c r="AN12" s="188">
        <v>-42.472228222466413</v>
      </c>
      <c r="AP12" s="182">
        <f t="shared" si="19"/>
        <v>1.0745472320188167</v>
      </c>
      <c r="AQ12" s="186">
        <v>4.0536895326084163E-2</v>
      </c>
      <c r="AR12" s="186">
        <f t="shared" si="20"/>
        <v>7.4547232018816773E-2</v>
      </c>
      <c r="AS12" s="189"/>
      <c r="AT12" s="190">
        <v>2.4535148936170215</v>
      </c>
      <c r="AU12" s="190">
        <v>1.2689831788827406</v>
      </c>
      <c r="AV12" s="190">
        <v>0.27750192750023794</v>
      </c>
      <c r="AX12" s="190">
        <v>103.8077717775335</v>
      </c>
      <c r="AY12" s="190">
        <v>101.52</v>
      </c>
      <c r="AZ12" s="190">
        <v>2.2877717775335071</v>
      </c>
      <c r="BA12" s="191">
        <v>4.0728537898723364E-3</v>
      </c>
      <c r="BB12" s="190">
        <v>124.08</v>
      </c>
      <c r="BC12" s="190">
        <v>-20.272228222466495</v>
      </c>
      <c r="BD12" s="191">
        <v>-3.4696545964782145E-2</v>
      </c>
    </row>
    <row r="13" spans="1:56" ht="18" customHeight="1" x14ac:dyDescent="0.55000000000000004">
      <c r="B13" s="177" t="s">
        <v>531</v>
      </c>
      <c r="C13" s="178">
        <v>209.70506370384354</v>
      </c>
      <c r="D13" s="178">
        <v>138.65366250000002</v>
      </c>
      <c r="E13" s="178">
        <v>30</v>
      </c>
      <c r="F13" s="178">
        <v>378.35872620384356</v>
      </c>
      <c r="G13" s="179"/>
      <c r="H13" s="180">
        <v>68</v>
      </c>
      <c r="I13" s="181">
        <v>6</v>
      </c>
      <c r="J13" s="182">
        <f t="shared" si="0"/>
        <v>408</v>
      </c>
      <c r="K13" s="183"/>
      <c r="L13" s="182">
        <f t="shared" si="1"/>
        <v>198.29493629615646</v>
      </c>
      <c r="M13" s="182">
        <f t="shared" si="2"/>
        <v>59.64127379615644</v>
      </c>
      <c r="N13" s="182">
        <f t="shared" si="3"/>
        <v>29.64127379615644</v>
      </c>
      <c r="O13" s="180">
        <f t="shared" si="4"/>
        <v>6</v>
      </c>
      <c r="P13" s="180">
        <v>8</v>
      </c>
      <c r="Q13" s="184">
        <f t="shared" si="5"/>
        <v>35</v>
      </c>
      <c r="R13" s="184">
        <f t="shared" si="6"/>
        <v>58.1</v>
      </c>
      <c r="S13" s="184">
        <f t="shared" si="7"/>
        <v>63.1</v>
      </c>
      <c r="T13" s="185">
        <f t="shared" si="8"/>
        <v>1.0776545166402536</v>
      </c>
      <c r="U13" s="179"/>
      <c r="V13" s="179"/>
      <c r="W13" s="182">
        <v>276.33240000000001</v>
      </c>
      <c r="X13" s="181">
        <v>5.31</v>
      </c>
      <c r="Y13" s="185">
        <f t="shared" si="9"/>
        <v>1.317719253504775</v>
      </c>
      <c r="Z13" s="185">
        <f t="shared" si="10"/>
        <v>0.7303449897204799</v>
      </c>
      <c r="AA13" s="178">
        <v>10.815</v>
      </c>
      <c r="AB13" s="186">
        <f t="shared" si="11"/>
        <v>3.913764726828993E-2</v>
      </c>
      <c r="AC13" s="186"/>
      <c r="AD13" s="182">
        <f t="shared" si="12"/>
        <v>0</v>
      </c>
      <c r="AE13" s="182">
        <f t="shared" si="13"/>
        <v>72.026326203843553</v>
      </c>
      <c r="AF13" s="182">
        <f t="shared" si="14"/>
        <v>30</v>
      </c>
      <c r="AG13" s="182">
        <f t="shared" si="15"/>
        <v>102.02632620384355</v>
      </c>
      <c r="AH13" s="178">
        <f t="shared" si="16"/>
        <v>3.0838979956447581</v>
      </c>
      <c r="AI13" s="178">
        <f t="shared" si="17"/>
        <v>5.1229224441741703</v>
      </c>
      <c r="AJ13" s="178">
        <f t="shared" si="18"/>
        <v>5.5640989147624049</v>
      </c>
      <c r="AK13" s="187"/>
      <c r="AL13" s="188">
        <v>141.29493629615646</v>
      </c>
      <c r="AM13" s="188">
        <v>2.6412737961564403</v>
      </c>
      <c r="AN13" s="188">
        <v>-27.35872620384356</v>
      </c>
      <c r="AP13" s="182">
        <f t="shared" si="19"/>
        <v>1.0783417210792356</v>
      </c>
      <c r="AQ13" s="186">
        <v>3.4355567596030624E-2</v>
      </c>
      <c r="AR13" s="186">
        <f t="shared" si="20"/>
        <v>7.834172107923576E-2</v>
      </c>
      <c r="AS13" s="189"/>
      <c r="AT13" s="190">
        <v>4.0637117647058822</v>
      </c>
      <c r="AU13" s="190">
        <v>1.5003871500565227</v>
      </c>
      <c r="AV13" s="190">
        <v>0.43590108523759508</v>
      </c>
      <c r="AX13" s="190">
        <v>94.321273796156504</v>
      </c>
      <c r="AY13" s="190">
        <v>73.44</v>
      </c>
      <c r="AZ13" s="190">
        <v>20.881273796156506</v>
      </c>
      <c r="BA13" s="191">
        <v>5.394023172405548E-2</v>
      </c>
      <c r="BB13" s="190">
        <v>89.76</v>
      </c>
      <c r="BC13" s="190">
        <v>4.5612737961564989</v>
      </c>
      <c r="BD13" s="191">
        <v>1.1305988988900006E-2</v>
      </c>
    </row>
    <row r="14" spans="1:56" ht="18" customHeight="1" x14ac:dyDescent="0.55000000000000004">
      <c r="B14" s="177" t="s">
        <v>569</v>
      </c>
      <c r="C14" s="178">
        <v>186.46456904011822</v>
      </c>
      <c r="D14" s="178">
        <v>138.51387187500004</v>
      </c>
      <c r="E14" s="178">
        <v>30</v>
      </c>
      <c r="F14" s="178">
        <v>354.97844091511826</v>
      </c>
      <c r="G14" s="179"/>
      <c r="H14" s="180">
        <v>67</v>
      </c>
      <c r="I14" s="181">
        <v>4.8499999999999996</v>
      </c>
      <c r="J14" s="182">
        <f t="shared" si="0"/>
        <v>324.95</v>
      </c>
      <c r="K14" s="183"/>
      <c r="L14" s="182">
        <f t="shared" si="1"/>
        <v>138.48543095988177</v>
      </c>
      <c r="M14" s="182">
        <f t="shared" si="2"/>
        <v>-2.8440915118267185E-2</v>
      </c>
      <c r="N14" s="182">
        <f t="shared" si="3"/>
        <v>-30.028440915118267</v>
      </c>
      <c r="O14" s="180">
        <f t="shared" si="4"/>
        <v>14</v>
      </c>
      <c r="P14" s="180">
        <v>6</v>
      </c>
      <c r="Q14" s="184">
        <f t="shared" si="5"/>
        <v>38.4</v>
      </c>
      <c r="R14" s="184">
        <f t="shared" si="6"/>
        <v>67</v>
      </c>
      <c r="S14" s="184">
        <f t="shared" si="7"/>
        <v>73.2</v>
      </c>
      <c r="T14" s="185">
        <f t="shared" si="8"/>
        <v>0.91530054644808745</v>
      </c>
      <c r="U14" s="179"/>
      <c r="V14" s="179"/>
      <c r="W14" s="182">
        <v>248.74600000000004</v>
      </c>
      <c r="X14" s="181">
        <v>4.49</v>
      </c>
      <c r="Y14" s="185">
        <f t="shared" si="9"/>
        <v>1.3340121465460917</v>
      </c>
      <c r="Z14" s="185">
        <f t="shared" si="10"/>
        <v>0.70073551328566375</v>
      </c>
      <c r="AA14" s="178">
        <v>6.49</v>
      </c>
      <c r="AB14" s="186">
        <f t="shared" si="11"/>
        <v>2.6090871813014074E-2</v>
      </c>
      <c r="AC14" s="186"/>
      <c r="AD14" s="182">
        <f t="shared" si="12"/>
        <v>0</v>
      </c>
      <c r="AE14" s="182">
        <f t="shared" si="13"/>
        <v>76.232440915118218</v>
      </c>
      <c r="AF14" s="182">
        <f t="shared" si="14"/>
        <v>30</v>
      </c>
      <c r="AG14" s="182">
        <f t="shared" si="15"/>
        <v>106.23244091511822</v>
      </c>
      <c r="AH14" s="178">
        <f t="shared" si="16"/>
        <v>2.7830532692554959</v>
      </c>
      <c r="AI14" s="178">
        <f t="shared" si="17"/>
        <v>4.850424491270422</v>
      </c>
      <c r="AJ14" s="178">
        <f t="shared" si="18"/>
        <v>5.2981856853002727</v>
      </c>
      <c r="AK14" s="187"/>
      <c r="AL14" s="188">
        <v>92.895430959881793</v>
      </c>
      <c r="AM14" s="188">
        <v>-45.618440915118242</v>
      </c>
      <c r="AN14" s="188">
        <v>-75.618440915118242</v>
      </c>
      <c r="AP14" s="182">
        <f t="shared" si="19"/>
        <v>0.91540770521807935</v>
      </c>
      <c r="AQ14" s="186">
        <v>1.7593753421860259E-2</v>
      </c>
      <c r="AR14" s="186">
        <f t="shared" si="20"/>
        <v>-8.4592294781920596E-2</v>
      </c>
      <c r="AS14" s="189"/>
      <c r="AT14" s="190">
        <v>3.7126268656716426</v>
      </c>
      <c r="AU14" s="190">
        <v>1.5855588196286301</v>
      </c>
      <c r="AV14" s="190">
        <v>-0.44818568530027303</v>
      </c>
      <c r="AX14" s="190">
        <v>34.651559084881796</v>
      </c>
      <c r="AY14" s="190">
        <v>58.490999999999993</v>
      </c>
      <c r="AZ14" s="190">
        <v>-23.839440915118196</v>
      </c>
      <c r="BA14" s="191">
        <v>-6.8349090077299071E-2</v>
      </c>
      <c r="BB14" s="190">
        <v>71.489000000000004</v>
      </c>
      <c r="BC14" s="190">
        <v>-36.837440915118208</v>
      </c>
      <c r="BD14" s="191">
        <v>-0.10182067354781653</v>
      </c>
    </row>
    <row r="15" spans="1:56" ht="18" customHeight="1" x14ac:dyDescent="0.55000000000000004">
      <c r="B15" s="177" t="s">
        <v>511</v>
      </c>
      <c r="C15" s="178">
        <v>171.91365597176832</v>
      </c>
      <c r="D15" s="178">
        <v>132.50287500000002</v>
      </c>
      <c r="E15" s="178">
        <v>30</v>
      </c>
      <c r="F15" s="178">
        <v>334.41653097176834</v>
      </c>
      <c r="G15" s="179"/>
      <c r="H15" s="180">
        <v>24</v>
      </c>
      <c r="I15" s="181">
        <v>12.5</v>
      </c>
      <c r="J15" s="182">
        <f t="shared" si="0"/>
        <v>300</v>
      </c>
      <c r="K15" s="183"/>
      <c r="L15" s="182">
        <f t="shared" si="1"/>
        <v>128.08634402823168</v>
      </c>
      <c r="M15" s="182">
        <f t="shared" si="2"/>
        <v>-4.4165309717683385</v>
      </c>
      <c r="N15" s="182">
        <f t="shared" si="3"/>
        <v>-34.416530971768339</v>
      </c>
      <c r="O15" s="180">
        <f t="shared" si="4"/>
        <v>16</v>
      </c>
      <c r="P15" s="180">
        <v>9</v>
      </c>
      <c r="Q15" s="184">
        <f t="shared" si="5"/>
        <v>13.8</v>
      </c>
      <c r="R15" s="184">
        <f t="shared" si="6"/>
        <v>24.4</v>
      </c>
      <c r="S15" s="184">
        <f t="shared" si="7"/>
        <v>26.8</v>
      </c>
      <c r="T15" s="185">
        <f t="shared" si="8"/>
        <v>0.89552238805970152</v>
      </c>
      <c r="U15" s="179"/>
      <c r="V15" s="179"/>
      <c r="W15" s="182">
        <v>213.79600000000002</v>
      </c>
      <c r="X15" s="181">
        <v>11.3</v>
      </c>
      <c r="Y15" s="185">
        <f t="shared" si="9"/>
        <v>1.2436242996025262</v>
      </c>
      <c r="Z15" s="185">
        <f t="shared" si="10"/>
        <v>0.63931050112486465</v>
      </c>
      <c r="AA15" s="178">
        <v>9.5749999999999993</v>
      </c>
      <c r="AB15" s="186">
        <f t="shared" si="11"/>
        <v>4.4785683548803523E-2</v>
      </c>
      <c r="AC15" s="186"/>
      <c r="AD15" s="182">
        <f t="shared" si="12"/>
        <v>0</v>
      </c>
      <c r="AE15" s="182">
        <f t="shared" si="13"/>
        <v>90.620530971768318</v>
      </c>
      <c r="AF15" s="182">
        <f t="shared" si="14"/>
        <v>30</v>
      </c>
      <c r="AG15" s="182">
        <f t="shared" si="15"/>
        <v>120.62053097176832</v>
      </c>
      <c r="AH15" s="178">
        <f t="shared" si="16"/>
        <v>7.1630689988236798</v>
      </c>
      <c r="AI15" s="178">
        <f t="shared" si="17"/>
        <v>12.684022123823681</v>
      </c>
      <c r="AJ15" s="178">
        <f t="shared" si="18"/>
        <v>13.934022123823681</v>
      </c>
      <c r="AK15" s="187"/>
      <c r="AL15" s="188">
        <v>86.836344028231679</v>
      </c>
      <c r="AM15" s="188">
        <v>-45.666530971768339</v>
      </c>
      <c r="AN15" s="188">
        <v>-75.666530971768339</v>
      </c>
      <c r="AP15" s="182">
        <f t="shared" si="19"/>
        <v>0.89708483946125916</v>
      </c>
      <c r="AQ15" s="186">
        <v>1.4679374482436993E-2</v>
      </c>
      <c r="AR15" s="186">
        <f t="shared" si="20"/>
        <v>-0.10291516053874085</v>
      </c>
      <c r="AS15" s="189"/>
      <c r="AT15" s="190">
        <v>8.9081666666666681</v>
      </c>
      <c r="AU15" s="190">
        <v>5.0258554571570127</v>
      </c>
      <c r="AV15" s="190">
        <v>-1.4340221238236808</v>
      </c>
      <c r="AX15" s="190">
        <v>30.263469028231668</v>
      </c>
      <c r="AY15" s="190">
        <v>54</v>
      </c>
      <c r="AZ15" s="190">
        <v>-23.736530971768332</v>
      </c>
      <c r="BA15" s="191">
        <v>-7.3320520549589416E-2</v>
      </c>
      <c r="BB15" s="190">
        <v>66</v>
      </c>
      <c r="BC15" s="190">
        <v>-35.736530971768332</v>
      </c>
      <c r="BD15" s="191">
        <v>-0.10644218807030377</v>
      </c>
    </row>
    <row r="16" spans="1:56" ht="18" customHeight="1" x14ac:dyDescent="0.55000000000000004">
      <c r="B16" s="177" t="s">
        <v>515</v>
      </c>
      <c r="C16" s="178">
        <v>126.06833751856932</v>
      </c>
      <c r="D16" s="178">
        <v>137.25575625000002</v>
      </c>
      <c r="E16" s="178">
        <v>30</v>
      </c>
      <c r="F16" s="178">
        <v>293.32409376856936</v>
      </c>
      <c r="G16" s="179"/>
      <c r="H16" s="180">
        <v>58</v>
      </c>
      <c r="I16" s="181">
        <v>4.5</v>
      </c>
      <c r="J16" s="182">
        <f t="shared" si="0"/>
        <v>261</v>
      </c>
      <c r="K16" s="183"/>
      <c r="L16" s="182">
        <f t="shared" si="1"/>
        <v>134.93166248143069</v>
      </c>
      <c r="M16" s="182">
        <f t="shared" si="2"/>
        <v>-2.3240937685693552</v>
      </c>
      <c r="N16" s="182">
        <f t="shared" si="3"/>
        <v>-32.324093768569355</v>
      </c>
      <c r="O16" s="180">
        <f t="shared" si="4"/>
        <v>15</v>
      </c>
      <c r="P16" s="180">
        <v>10</v>
      </c>
      <c r="Q16" s="184">
        <f t="shared" si="5"/>
        <v>28</v>
      </c>
      <c r="R16" s="184">
        <f t="shared" si="6"/>
        <v>58.5</v>
      </c>
      <c r="S16" s="184">
        <f t="shared" si="7"/>
        <v>65.2</v>
      </c>
      <c r="T16" s="185">
        <f t="shared" si="8"/>
        <v>0.88957055214723924</v>
      </c>
      <c r="U16" s="179"/>
      <c r="V16" s="179"/>
      <c r="W16" s="182">
        <v>166.92960000000002</v>
      </c>
      <c r="X16" s="181">
        <v>4.1900000000000004</v>
      </c>
      <c r="Y16" s="185">
        <f t="shared" si="9"/>
        <v>1.3241199438789459</v>
      </c>
      <c r="Z16" s="185">
        <f t="shared" si="10"/>
        <v>0.56909610750116657</v>
      </c>
      <c r="AA16" s="178">
        <v>7.4150000000000009</v>
      </c>
      <c r="AB16" s="186">
        <f t="shared" si="11"/>
        <v>4.441992312927126E-2</v>
      </c>
      <c r="AC16" s="186"/>
      <c r="AD16" s="182">
        <f t="shared" si="12"/>
        <v>0</v>
      </c>
      <c r="AE16" s="182">
        <f t="shared" si="13"/>
        <v>96.394493768569333</v>
      </c>
      <c r="AF16" s="182">
        <f t="shared" si="14"/>
        <v>30</v>
      </c>
      <c r="AG16" s="182">
        <f t="shared" si="15"/>
        <v>126.39449376856933</v>
      </c>
      <c r="AH16" s="178">
        <f t="shared" si="16"/>
        <v>2.1735920261822299</v>
      </c>
      <c r="AI16" s="178">
        <f t="shared" si="17"/>
        <v>4.5400705822167131</v>
      </c>
      <c r="AJ16" s="178">
        <f t="shared" si="18"/>
        <v>5.0573119615270574</v>
      </c>
      <c r="AK16" s="187"/>
      <c r="AL16" s="188">
        <v>96.681662481430678</v>
      </c>
      <c r="AM16" s="188">
        <v>-40.574093768569355</v>
      </c>
      <c r="AN16" s="188">
        <v>-70.574093768569355</v>
      </c>
      <c r="AP16" s="182">
        <f t="shared" si="19"/>
        <v>0.88980075467624953</v>
      </c>
      <c r="AQ16" s="186">
        <v>1.6597797904105906E-2</v>
      </c>
      <c r="AR16" s="186">
        <f t="shared" si="20"/>
        <v>-0.11019924532375044</v>
      </c>
      <c r="AS16" s="189"/>
      <c r="AT16" s="190">
        <v>2.8780965517241381</v>
      </c>
      <c r="AU16" s="190">
        <v>2.1792154098029193</v>
      </c>
      <c r="AV16" s="190">
        <v>-0.55731196152705742</v>
      </c>
      <c r="AX16" s="190">
        <v>32.35590623143068</v>
      </c>
      <c r="AY16" s="190">
        <v>46.98</v>
      </c>
      <c r="AZ16" s="190">
        <v>-14.624093768569317</v>
      </c>
      <c r="BA16" s="191">
        <v>-5.3058111025840113E-2</v>
      </c>
      <c r="BB16" s="190">
        <v>57.42</v>
      </c>
      <c r="BC16" s="190">
        <v>-25.064093768569322</v>
      </c>
      <c r="BD16" s="191">
        <v>-8.7617056158213968E-2</v>
      </c>
    </row>
    <row r="17" spans="2:106" ht="18" customHeight="1" x14ac:dyDescent="0.55000000000000004">
      <c r="B17" s="177" t="s">
        <v>514</v>
      </c>
      <c r="C17" s="178">
        <v>151.23989287803889</v>
      </c>
      <c r="D17" s="178">
        <v>134.73952500000001</v>
      </c>
      <c r="E17" s="178">
        <v>30</v>
      </c>
      <c r="F17" s="178">
        <v>315.97941787803893</v>
      </c>
      <c r="G17" s="179"/>
      <c r="H17" s="180">
        <v>40</v>
      </c>
      <c r="I17" s="181">
        <v>7.5</v>
      </c>
      <c r="J17" s="182">
        <f t="shared" si="0"/>
        <v>300</v>
      </c>
      <c r="K17" s="183"/>
      <c r="L17" s="182">
        <f t="shared" si="1"/>
        <v>148.76010712196111</v>
      </c>
      <c r="M17" s="182">
        <f t="shared" si="2"/>
        <v>14.02058212196107</v>
      </c>
      <c r="N17" s="182">
        <f t="shared" si="3"/>
        <v>-15.97941787803893</v>
      </c>
      <c r="O17" s="180">
        <f t="shared" si="4"/>
        <v>11</v>
      </c>
      <c r="P17" s="180">
        <v>11</v>
      </c>
      <c r="Q17" s="184">
        <f t="shared" si="5"/>
        <v>20.2</v>
      </c>
      <c r="R17" s="184">
        <f t="shared" si="6"/>
        <v>38.1</v>
      </c>
      <c r="S17" s="184">
        <f t="shared" si="7"/>
        <v>42.1</v>
      </c>
      <c r="T17" s="185">
        <f t="shared" si="8"/>
        <v>0.95011876484560565</v>
      </c>
      <c r="U17" s="179"/>
      <c r="V17" s="179"/>
      <c r="W17" s="182">
        <v>174.51520000000005</v>
      </c>
      <c r="X17" s="181">
        <v>5.44</v>
      </c>
      <c r="Y17" s="185">
        <f t="shared" si="9"/>
        <v>1.1538966120581067</v>
      </c>
      <c r="Z17" s="185">
        <f t="shared" si="10"/>
        <v>0.55229926421144004</v>
      </c>
      <c r="AA17" s="178">
        <v>8.8974999999999991</v>
      </c>
      <c r="AB17" s="186">
        <f t="shared" si="11"/>
        <v>5.0984097660261095E-2</v>
      </c>
      <c r="AC17" s="186"/>
      <c r="AD17" s="182">
        <f t="shared" si="12"/>
        <v>0</v>
      </c>
      <c r="AE17" s="182">
        <f t="shared" si="13"/>
        <v>111.46421787803888</v>
      </c>
      <c r="AF17" s="182">
        <f t="shared" si="14"/>
        <v>30</v>
      </c>
      <c r="AG17" s="182">
        <f t="shared" si="15"/>
        <v>141.46421787803888</v>
      </c>
      <c r="AH17" s="178">
        <f t="shared" si="16"/>
        <v>3.7809973219509723</v>
      </c>
      <c r="AI17" s="178">
        <f t="shared" si="17"/>
        <v>7.1494854469509734</v>
      </c>
      <c r="AJ17" s="178">
        <f t="shared" si="18"/>
        <v>7.8994854469509734</v>
      </c>
      <c r="AK17" s="187"/>
      <c r="AL17" s="188">
        <v>105.26010712196111</v>
      </c>
      <c r="AM17" s="188">
        <v>-29.47941787803893</v>
      </c>
      <c r="AN17" s="188">
        <v>-59.47941787803893</v>
      </c>
      <c r="AP17" s="182">
        <f t="shared" si="19"/>
        <v>0.94942892804427337</v>
      </c>
      <c r="AQ17" s="186">
        <v>2.0473265826456227E-2</v>
      </c>
      <c r="AR17" s="186">
        <f t="shared" si="20"/>
        <v>-5.057107195572666E-2</v>
      </c>
      <c r="AS17" s="189"/>
      <c r="AT17" s="190">
        <v>4.3628800000000014</v>
      </c>
      <c r="AU17" s="190">
        <v>3.536605446950972</v>
      </c>
      <c r="AV17" s="190">
        <v>-0.39948544695097343</v>
      </c>
      <c r="AX17" s="190">
        <v>48.700582121961105</v>
      </c>
      <c r="AY17" s="190">
        <v>54</v>
      </c>
      <c r="AZ17" s="190">
        <v>-5.299417878038895</v>
      </c>
      <c r="BA17" s="191">
        <v>-1.735810017219197E-2</v>
      </c>
      <c r="BB17" s="190">
        <v>66</v>
      </c>
      <c r="BC17" s="190">
        <v>-17.299417878038895</v>
      </c>
      <c r="BD17" s="191">
        <v>-5.4520799293392694E-2</v>
      </c>
    </row>
    <row r="18" spans="2:106" ht="18" customHeight="1" x14ac:dyDescent="0.55000000000000004">
      <c r="B18" s="177" t="s">
        <v>532</v>
      </c>
      <c r="C18" s="178">
        <v>304.97952186665566</v>
      </c>
      <c r="D18" s="178">
        <v>147.33982499999999</v>
      </c>
      <c r="E18" s="178">
        <v>30</v>
      </c>
      <c r="F18" s="178">
        <v>482.31934686665568</v>
      </c>
      <c r="G18" s="179"/>
      <c r="H18" s="180">
        <v>1800</v>
      </c>
      <c r="I18" s="181">
        <v>0.28000000000000003</v>
      </c>
      <c r="J18" s="182">
        <f t="shared" si="0"/>
        <v>504.00000000000006</v>
      </c>
      <c r="K18" s="183"/>
      <c r="L18" s="182">
        <f t="shared" si="1"/>
        <v>199.0204781333444</v>
      </c>
      <c r="M18" s="182">
        <f t="shared" si="2"/>
        <v>51.680653133344379</v>
      </c>
      <c r="N18" s="182">
        <f t="shared" si="3"/>
        <v>21.680653133344379</v>
      </c>
      <c r="O18" s="180">
        <f t="shared" si="4"/>
        <v>8</v>
      </c>
      <c r="P18" s="180">
        <v>12</v>
      </c>
      <c r="Q18" s="184">
        <f t="shared" si="5"/>
        <v>1089.2</v>
      </c>
      <c r="R18" s="184">
        <f t="shared" si="6"/>
        <v>1615.4</v>
      </c>
      <c r="S18" s="184">
        <f t="shared" si="7"/>
        <v>1722.6</v>
      </c>
      <c r="T18" s="185">
        <f t="shared" si="8"/>
        <v>1.044932079414838</v>
      </c>
      <c r="U18" s="179"/>
      <c r="V18" s="179"/>
      <c r="W18" s="182">
        <v>376.76800000000003</v>
      </c>
      <c r="X18" s="181">
        <v>0.28000000000000003</v>
      </c>
      <c r="Y18" s="185">
        <f t="shared" si="9"/>
        <v>1.2353878637291982</v>
      </c>
      <c r="Z18" s="185">
        <f t="shared" si="10"/>
        <v>0.7811587954073157</v>
      </c>
      <c r="AA18" s="178">
        <v>29.169999999999998</v>
      </c>
      <c r="AB18" s="186">
        <f t="shared" si="11"/>
        <v>7.7421649396976377E-2</v>
      </c>
      <c r="AC18" s="186"/>
      <c r="AD18" s="182">
        <f t="shared" si="12"/>
        <v>0</v>
      </c>
      <c r="AE18" s="182">
        <f t="shared" si="13"/>
        <v>75.551346866655649</v>
      </c>
      <c r="AF18" s="182">
        <f t="shared" si="14"/>
        <v>30</v>
      </c>
      <c r="AG18" s="182">
        <f t="shared" si="15"/>
        <v>105.55134686665565</v>
      </c>
      <c r="AH18" s="178">
        <f t="shared" si="16"/>
        <v>0.16943306770369759</v>
      </c>
      <c r="AI18" s="178">
        <f t="shared" si="17"/>
        <v>0.25128852603703095</v>
      </c>
      <c r="AJ18" s="178">
        <f t="shared" si="18"/>
        <v>0.26795519270369761</v>
      </c>
      <c r="AK18" s="187"/>
      <c r="AL18" s="188">
        <v>125.94047813334441</v>
      </c>
      <c r="AM18" s="188">
        <v>-21.399346866655605</v>
      </c>
      <c r="AN18" s="188">
        <v>-51.399346866655605</v>
      </c>
      <c r="AP18" s="182">
        <f t="shared" si="19"/>
        <v>1.0449508261988469</v>
      </c>
      <c r="AQ18" s="186">
        <v>3.2944083328665545E-2</v>
      </c>
      <c r="AR18" s="186">
        <f t="shared" si="20"/>
        <v>4.4950826198846876E-2</v>
      </c>
      <c r="AS18" s="189"/>
      <c r="AT18" s="190">
        <v>0.20931555555555556</v>
      </c>
      <c r="AU18" s="190">
        <v>5.8639637148142049E-2</v>
      </c>
      <c r="AV18" s="190">
        <v>1.2044807296302418E-2</v>
      </c>
      <c r="AX18" s="190">
        <v>86.360653133344385</v>
      </c>
      <c r="AY18" s="190">
        <v>90.720000000000013</v>
      </c>
      <c r="AZ18" s="190">
        <v>-4.3593468666556277</v>
      </c>
      <c r="BA18" s="191">
        <v>-8.5753254927347644E-3</v>
      </c>
      <c r="BB18" s="190">
        <v>110.88000000000001</v>
      </c>
      <c r="BC18" s="190">
        <v>-24.519346866655624</v>
      </c>
      <c r="BD18" s="191">
        <v>-4.6392524724060483E-2</v>
      </c>
    </row>
    <row r="19" spans="2:106" ht="18" customHeight="1" x14ac:dyDescent="0.55000000000000004">
      <c r="B19" s="177" t="s">
        <v>533</v>
      </c>
      <c r="C19" s="178">
        <v>311.40025565043203</v>
      </c>
      <c r="D19" s="178">
        <v>138.06661875</v>
      </c>
      <c r="E19" s="178">
        <v>30</v>
      </c>
      <c r="F19" s="178">
        <v>479.46687440043206</v>
      </c>
      <c r="G19" s="179"/>
      <c r="H19" s="180">
        <v>1800</v>
      </c>
      <c r="I19" s="181">
        <v>0.31</v>
      </c>
      <c r="J19" s="182">
        <f t="shared" si="0"/>
        <v>558</v>
      </c>
      <c r="K19" s="183"/>
      <c r="L19" s="182">
        <f t="shared" si="1"/>
        <v>246.59974434956797</v>
      </c>
      <c r="M19" s="182">
        <f t="shared" si="2"/>
        <v>108.53312559956794</v>
      </c>
      <c r="N19" s="182">
        <f t="shared" si="3"/>
        <v>78.533125599567938</v>
      </c>
      <c r="O19" s="180">
        <f t="shared" si="4"/>
        <v>1</v>
      </c>
      <c r="P19" s="180">
        <v>13</v>
      </c>
      <c r="Q19" s="184">
        <f t="shared" si="5"/>
        <v>1004.5</v>
      </c>
      <c r="R19" s="184">
        <f t="shared" si="6"/>
        <v>1449.9</v>
      </c>
      <c r="S19" s="184">
        <f t="shared" si="7"/>
        <v>1546.7</v>
      </c>
      <c r="T19" s="185">
        <f t="shared" si="8"/>
        <v>1.1637680222408999</v>
      </c>
      <c r="U19" s="179"/>
      <c r="V19" s="179"/>
      <c r="W19" s="182">
        <v>441.00600000000009</v>
      </c>
      <c r="X19" s="181">
        <v>0.31</v>
      </c>
      <c r="Y19" s="185">
        <f t="shared" si="9"/>
        <v>1.4162030762590616</v>
      </c>
      <c r="Z19" s="185">
        <f t="shared" si="10"/>
        <v>0.91978408425289682</v>
      </c>
      <c r="AA19" s="178">
        <v>24.952500000000001</v>
      </c>
      <c r="AB19" s="186">
        <f t="shared" si="11"/>
        <v>5.6580862845403451E-2</v>
      </c>
      <c r="AC19" s="186"/>
      <c r="AD19" s="182">
        <f t="shared" si="12"/>
        <v>0</v>
      </c>
      <c r="AE19" s="182">
        <f t="shared" si="13"/>
        <v>8.460874400431976</v>
      </c>
      <c r="AF19" s="182">
        <f t="shared" si="14"/>
        <v>30</v>
      </c>
      <c r="AG19" s="182">
        <f t="shared" si="15"/>
        <v>38.460874400431976</v>
      </c>
      <c r="AH19" s="178">
        <f t="shared" si="16"/>
        <v>0.17300014202801781</v>
      </c>
      <c r="AI19" s="178">
        <f t="shared" si="17"/>
        <v>0.24970381911135114</v>
      </c>
      <c r="AJ19" s="178">
        <f t="shared" si="18"/>
        <v>0.26637048577801781</v>
      </c>
      <c r="AK19" s="187"/>
      <c r="AL19" s="188">
        <v>165.689744349568</v>
      </c>
      <c r="AM19" s="188">
        <v>27.62312559956797</v>
      </c>
      <c r="AN19" s="188">
        <v>-2.3768744004320297</v>
      </c>
      <c r="AP19" s="182">
        <f t="shared" si="19"/>
        <v>1.1637925992234035</v>
      </c>
      <c r="AQ19" s="186">
        <v>4.6954303107888562E-2</v>
      </c>
      <c r="AR19" s="186">
        <f t="shared" si="20"/>
        <v>0.16379259922340356</v>
      </c>
      <c r="AS19" s="189"/>
      <c r="AT19" s="190">
        <v>0.24500333333333338</v>
      </c>
      <c r="AU19" s="190">
        <v>2.1367152444684429E-2</v>
      </c>
      <c r="AV19" s="190">
        <v>4.3629514221982191E-2</v>
      </c>
      <c r="AX19" s="190">
        <v>143.213125599568</v>
      </c>
      <c r="AY19" s="190">
        <v>100.44</v>
      </c>
      <c r="AZ19" s="190">
        <v>42.773125599568004</v>
      </c>
      <c r="BA19" s="191">
        <v>8.3018040643440733E-2</v>
      </c>
      <c r="BB19" s="190">
        <v>122.76</v>
      </c>
      <c r="BC19" s="190">
        <v>20.453125599567997</v>
      </c>
      <c r="BD19" s="191">
        <v>3.804900851182693E-2</v>
      </c>
    </row>
    <row r="20" spans="2:106" ht="18" customHeight="1" x14ac:dyDescent="0.55000000000000004">
      <c r="B20" s="177" t="s">
        <v>534</v>
      </c>
      <c r="C20" s="178">
        <v>324.36862679836781</v>
      </c>
      <c r="D20" s="178">
        <v>137.9501265625</v>
      </c>
      <c r="E20" s="178">
        <v>30</v>
      </c>
      <c r="F20" s="178">
        <v>492.31875336086785</v>
      </c>
      <c r="G20" s="179"/>
      <c r="H20" s="180">
        <v>1750</v>
      </c>
      <c r="I20" s="181">
        <v>0.3</v>
      </c>
      <c r="J20" s="182">
        <f t="shared" si="0"/>
        <v>525</v>
      </c>
      <c r="K20" s="183"/>
      <c r="L20" s="182">
        <f t="shared" si="1"/>
        <v>200.63137320163219</v>
      </c>
      <c r="M20" s="182">
        <f t="shared" si="2"/>
        <v>62.681246639132155</v>
      </c>
      <c r="N20" s="182">
        <f t="shared" si="3"/>
        <v>32.681246639132155</v>
      </c>
      <c r="O20" s="180">
        <f t="shared" si="4"/>
        <v>5</v>
      </c>
      <c r="P20" s="180">
        <v>14</v>
      </c>
      <c r="Q20" s="184">
        <f t="shared" si="5"/>
        <v>1081.2</v>
      </c>
      <c r="R20" s="184">
        <f t="shared" si="6"/>
        <v>1541.1</v>
      </c>
      <c r="S20" s="184">
        <f t="shared" si="7"/>
        <v>1641.1</v>
      </c>
      <c r="T20" s="185">
        <f t="shared" si="8"/>
        <v>1.0663579306562672</v>
      </c>
      <c r="U20" s="179"/>
      <c r="V20" s="179"/>
      <c r="W20" s="182">
        <v>413.952</v>
      </c>
      <c r="X20" s="181">
        <v>0.32</v>
      </c>
      <c r="Y20" s="185">
        <f t="shared" si="9"/>
        <v>1.2761776750293379</v>
      </c>
      <c r="Z20" s="185">
        <f t="shared" si="10"/>
        <v>0.84082110862954407</v>
      </c>
      <c r="AA20" s="178">
        <v>22.537499999999998</v>
      </c>
      <c r="AB20" s="186">
        <f t="shared" si="11"/>
        <v>5.4444718228200364E-2</v>
      </c>
      <c r="AC20" s="186"/>
      <c r="AD20" s="182">
        <f t="shared" si="12"/>
        <v>0</v>
      </c>
      <c r="AE20" s="182">
        <f t="shared" si="13"/>
        <v>48.366753360867847</v>
      </c>
      <c r="AF20" s="182">
        <f t="shared" si="14"/>
        <v>30</v>
      </c>
      <c r="AG20" s="182">
        <f t="shared" si="15"/>
        <v>78.366753360867847</v>
      </c>
      <c r="AH20" s="178">
        <f t="shared" si="16"/>
        <v>0.18535350102763876</v>
      </c>
      <c r="AI20" s="178">
        <f t="shared" si="17"/>
        <v>0.26418214477763879</v>
      </c>
      <c r="AJ20" s="178">
        <f t="shared" si="18"/>
        <v>0.28132500192049592</v>
      </c>
      <c r="AK20" s="187"/>
      <c r="AL20" s="188">
        <v>124.64137320163223</v>
      </c>
      <c r="AM20" s="188">
        <v>-13.308753360867797</v>
      </c>
      <c r="AN20" s="188">
        <v>-43.308753360867797</v>
      </c>
      <c r="AP20" s="182">
        <f t="shared" si="19"/>
        <v>1.0663822907740768</v>
      </c>
      <c r="AQ20" s="186">
        <v>3.4071513144339496E-2</v>
      </c>
      <c r="AR20" s="186">
        <f t="shared" si="20"/>
        <v>6.6382290774076855E-2</v>
      </c>
      <c r="AS20" s="189"/>
      <c r="AT20" s="190">
        <v>0.236544</v>
      </c>
      <c r="AU20" s="190">
        <v>4.4781001920495916E-2</v>
      </c>
      <c r="AV20" s="190">
        <v>1.8674998079504068E-2</v>
      </c>
      <c r="AX20" s="190">
        <v>97.361246639132162</v>
      </c>
      <c r="AY20" s="190">
        <v>94.5</v>
      </c>
      <c r="AZ20" s="190">
        <v>2.8612466391321618</v>
      </c>
      <c r="BA20" s="191">
        <v>5.4798587936924431E-3</v>
      </c>
      <c r="BB20" s="190">
        <v>115.5</v>
      </c>
      <c r="BC20" s="190">
        <v>-18.138753360867838</v>
      </c>
      <c r="BD20" s="191">
        <v>-3.3396168563976932E-2</v>
      </c>
    </row>
    <row r="21" spans="2:106" ht="18" customHeight="1" x14ac:dyDescent="0.55000000000000004">
      <c r="B21" s="177" t="s">
        <v>535</v>
      </c>
      <c r="C21" s="178">
        <v>227.82202186665569</v>
      </c>
      <c r="D21" s="178">
        <v>147.33982499999999</v>
      </c>
      <c r="E21" s="178">
        <v>30</v>
      </c>
      <c r="F21" s="178">
        <v>405.16184686665565</v>
      </c>
      <c r="G21" s="179"/>
      <c r="H21" s="180">
        <v>1800</v>
      </c>
      <c r="I21" s="181">
        <v>0.24</v>
      </c>
      <c r="J21" s="182">
        <f t="shared" si="0"/>
        <v>432</v>
      </c>
      <c r="K21" s="183"/>
      <c r="L21" s="182">
        <f t="shared" si="1"/>
        <v>204.17797813334431</v>
      </c>
      <c r="M21" s="182">
        <f t="shared" si="2"/>
        <v>56.838153133344349</v>
      </c>
      <c r="N21" s="182">
        <f t="shared" si="3"/>
        <v>26.838153133344349</v>
      </c>
      <c r="O21" s="180">
        <f t="shared" si="4"/>
        <v>7</v>
      </c>
      <c r="P21" s="180">
        <v>15</v>
      </c>
      <c r="Q21" s="184">
        <f t="shared" si="5"/>
        <v>949.3</v>
      </c>
      <c r="R21" s="184">
        <f t="shared" si="6"/>
        <v>1563.2</v>
      </c>
      <c r="S21" s="184">
        <f t="shared" si="7"/>
        <v>1688.2</v>
      </c>
      <c r="T21" s="185">
        <f t="shared" si="8"/>
        <v>1.066224380997512</v>
      </c>
      <c r="U21" s="179"/>
      <c r="V21" s="179"/>
      <c r="W21" s="182">
        <v>322.94400000000002</v>
      </c>
      <c r="X21" s="181">
        <v>0.24</v>
      </c>
      <c r="Y21" s="185">
        <f t="shared" si="9"/>
        <v>1.4175275829525351</v>
      </c>
      <c r="Z21" s="185">
        <f t="shared" si="10"/>
        <v>0.7970740643461558</v>
      </c>
      <c r="AA21" s="178">
        <v>16.7225</v>
      </c>
      <c r="AB21" s="186">
        <f t="shared" si="11"/>
        <v>5.1781423404676973E-2</v>
      </c>
      <c r="AC21" s="186"/>
      <c r="AD21" s="182">
        <f t="shared" si="12"/>
        <v>0</v>
      </c>
      <c r="AE21" s="182">
        <f t="shared" si="13"/>
        <v>52.217846866655634</v>
      </c>
      <c r="AF21" s="182">
        <f t="shared" si="14"/>
        <v>30</v>
      </c>
      <c r="AG21" s="182">
        <f t="shared" si="15"/>
        <v>82.217846866655634</v>
      </c>
      <c r="AH21" s="178">
        <f t="shared" si="16"/>
        <v>0.12656778992591983</v>
      </c>
      <c r="AI21" s="178">
        <f t="shared" si="17"/>
        <v>0.20842324825925315</v>
      </c>
      <c r="AJ21" s="178">
        <f t="shared" si="18"/>
        <v>0.22508991492591982</v>
      </c>
      <c r="AK21" s="187"/>
      <c r="AL21" s="188">
        <v>141.53797813334432</v>
      </c>
      <c r="AM21" s="188">
        <v>-5.8018468666556373</v>
      </c>
      <c r="AN21" s="188">
        <v>-35.801846866655637</v>
      </c>
      <c r="AP21" s="182">
        <f t="shared" si="19"/>
        <v>1.0662405735902798</v>
      </c>
      <c r="AQ21" s="186">
        <v>3.4389489976274959E-2</v>
      </c>
      <c r="AR21" s="186">
        <f t="shared" si="20"/>
        <v>6.6240573590279725E-2</v>
      </c>
      <c r="AS21" s="189"/>
      <c r="AT21" s="190">
        <v>0.17941333333333334</v>
      </c>
      <c r="AU21" s="190">
        <v>4.5676581592586474E-2</v>
      </c>
      <c r="AV21" s="190">
        <v>1.4910085074080176E-2</v>
      </c>
      <c r="AX21" s="190">
        <v>91.518153133344299</v>
      </c>
      <c r="AY21" s="190">
        <v>77.759999999999991</v>
      </c>
      <c r="AZ21" s="190">
        <v>13.758153133344308</v>
      </c>
      <c r="BA21" s="191">
        <v>3.2895209401967607E-2</v>
      </c>
      <c r="BB21" s="190">
        <v>95.04</v>
      </c>
      <c r="BC21" s="190">
        <v>-3.5218468666557072</v>
      </c>
      <c r="BD21" s="191">
        <v>-8.0864987416670187E-3</v>
      </c>
    </row>
    <row r="22" spans="2:106" ht="18" customHeight="1" x14ac:dyDescent="0.55000000000000004">
      <c r="B22" s="177" t="s">
        <v>536</v>
      </c>
      <c r="C22" s="178">
        <v>203.68254550327609</v>
      </c>
      <c r="D22" s="178">
        <v>138.65366250000002</v>
      </c>
      <c r="E22" s="178">
        <v>30</v>
      </c>
      <c r="F22" s="178">
        <v>372.33620800327611</v>
      </c>
      <c r="G22" s="179"/>
      <c r="H22" s="180">
        <v>68</v>
      </c>
      <c r="I22" s="181">
        <v>5.2</v>
      </c>
      <c r="J22" s="182">
        <f t="shared" si="0"/>
        <v>353.6</v>
      </c>
      <c r="K22" s="183"/>
      <c r="L22" s="182">
        <f t="shared" si="1"/>
        <v>149.91745449672393</v>
      </c>
      <c r="M22" s="182">
        <f t="shared" si="2"/>
        <v>11.26379199672391</v>
      </c>
      <c r="N22" s="182">
        <f t="shared" si="3"/>
        <v>-18.73620800327609</v>
      </c>
      <c r="O22" s="180">
        <f t="shared" si="4"/>
        <v>13</v>
      </c>
      <c r="P22" s="180">
        <v>16</v>
      </c>
      <c r="Q22" s="184">
        <f t="shared" si="5"/>
        <v>39.200000000000003</v>
      </c>
      <c r="R22" s="184">
        <f t="shared" si="6"/>
        <v>65.8</v>
      </c>
      <c r="S22" s="184">
        <f t="shared" si="7"/>
        <v>71.599999999999994</v>
      </c>
      <c r="T22" s="185">
        <f t="shared" si="8"/>
        <v>0.94972067039106156</v>
      </c>
      <c r="U22" s="179"/>
      <c r="V22" s="179"/>
      <c r="W22" s="182">
        <v>212.91580000000002</v>
      </c>
      <c r="X22" s="181">
        <v>4.49</v>
      </c>
      <c r="Y22" s="185">
        <f t="shared" si="9"/>
        <v>1.0453315941918815</v>
      </c>
      <c r="Z22" s="185">
        <f t="shared" si="10"/>
        <v>0.57183748296143844</v>
      </c>
      <c r="AA22" s="178">
        <v>8.8249999999999993</v>
      </c>
      <c r="AB22" s="186">
        <f t="shared" si="11"/>
        <v>4.1448309613471609E-2</v>
      </c>
      <c r="AC22" s="186"/>
      <c r="AD22" s="182">
        <f t="shared" si="12"/>
        <v>0</v>
      </c>
      <c r="AE22" s="182">
        <f t="shared" si="13"/>
        <v>129.42040800327609</v>
      </c>
      <c r="AF22" s="182">
        <f t="shared" si="14"/>
        <v>30</v>
      </c>
      <c r="AG22" s="182">
        <f t="shared" si="15"/>
        <v>159.42040800327609</v>
      </c>
      <c r="AH22" s="178">
        <f t="shared" si="16"/>
        <v>2.995331551518766</v>
      </c>
      <c r="AI22" s="178">
        <f t="shared" si="17"/>
        <v>5.0343560000481782</v>
      </c>
      <c r="AJ22" s="178">
        <f t="shared" si="18"/>
        <v>5.4755324706364137</v>
      </c>
      <c r="AK22" s="187"/>
      <c r="AL22" s="188">
        <v>100.51745449672396</v>
      </c>
      <c r="AM22" s="188">
        <v>-38.136208003276067</v>
      </c>
      <c r="AN22" s="188">
        <v>-68.136208003276067</v>
      </c>
      <c r="AP22" s="182">
        <f t="shared" si="19"/>
        <v>0.94967932851937076</v>
      </c>
      <c r="AQ22" s="186">
        <v>2.0797616304221719E-2</v>
      </c>
      <c r="AR22" s="186">
        <f t="shared" si="20"/>
        <v>-5.0320671480629235E-2</v>
      </c>
      <c r="AS22" s="189"/>
      <c r="AT22" s="190">
        <v>3.1311147058823532</v>
      </c>
      <c r="AU22" s="190">
        <v>2.3444177647540605</v>
      </c>
      <c r="AV22" s="190">
        <v>-0.27553247063641351</v>
      </c>
      <c r="AX22" s="190">
        <v>45.943791996723974</v>
      </c>
      <c r="AY22" s="190">
        <v>63.648000000000003</v>
      </c>
      <c r="AZ22" s="190">
        <v>-17.70420800327603</v>
      </c>
      <c r="BA22" s="191">
        <v>-4.768114021244764E-2</v>
      </c>
      <c r="BB22" s="190">
        <v>77.792000000000002</v>
      </c>
      <c r="BC22" s="190">
        <v>-31.848208003276028</v>
      </c>
      <c r="BD22" s="191">
        <v>-8.2626426435494907E-2</v>
      </c>
    </row>
    <row r="23" spans="2:106" ht="18" customHeight="1" x14ac:dyDescent="0.55000000000000004">
      <c r="B23" s="177" t="s">
        <v>537</v>
      </c>
      <c r="C23" s="178">
        <v>201.56004550327609</v>
      </c>
      <c r="D23" s="178">
        <v>138.65366250000002</v>
      </c>
      <c r="E23" s="178">
        <v>30</v>
      </c>
      <c r="F23" s="178">
        <v>370.21370800327611</v>
      </c>
      <c r="G23" s="179"/>
      <c r="H23" s="180">
        <v>68</v>
      </c>
      <c r="I23" s="181">
        <v>5.2</v>
      </c>
      <c r="J23" s="182">
        <f t="shared" si="0"/>
        <v>353.6</v>
      </c>
      <c r="K23" s="183"/>
      <c r="L23" s="182">
        <f t="shared" si="1"/>
        <v>152.03995449672394</v>
      </c>
      <c r="M23" s="182">
        <f t="shared" si="2"/>
        <v>13.386291996723912</v>
      </c>
      <c r="N23" s="182">
        <f t="shared" si="3"/>
        <v>-16.613708003276088</v>
      </c>
      <c r="O23" s="180">
        <f t="shared" si="4"/>
        <v>12</v>
      </c>
      <c r="P23" s="180">
        <v>17</v>
      </c>
      <c r="Q23" s="184">
        <f t="shared" si="5"/>
        <v>38.799999999999997</v>
      </c>
      <c r="R23" s="184">
        <f t="shared" si="6"/>
        <v>65.400000000000006</v>
      </c>
      <c r="S23" s="184">
        <f t="shared" si="7"/>
        <v>71.2</v>
      </c>
      <c r="T23" s="185">
        <f t="shared" si="8"/>
        <v>0.9550561797752809</v>
      </c>
      <c r="U23" s="179"/>
      <c r="V23" s="179"/>
      <c r="W23" s="182">
        <v>208.6054</v>
      </c>
      <c r="X23" s="181">
        <v>4.49</v>
      </c>
      <c r="Y23" s="185">
        <f t="shared" si="9"/>
        <v>1.0349541223764478</v>
      </c>
      <c r="Z23" s="185">
        <f t="shared" si="10"/>
        <v>0.56347292250494951</v>
      </c>
      <c r="AA23" s="178">
        <v>6.7524999999999995</v>
      </c>
      <c r="AB23" s="186">
        <f t="shared" si="11"/>
        <v>3.2369727725169141E-2</v>
      </c>
      <c r="AC23" s="186"/>
      <c r="AD23" s="182">
        <f t="shared" si="12"/>
        <v>0</v>
      </c>
      <c r="AE23" s="182">
        <f t="shared" si="13"/>
        <v>131.60830800327611</v>
      </c>
      <c r="AF23" s="182">
        <f t="shared" si="14"/>
        <v>30</v>
      </c>
      <c r="AG23" s="182">
        <f t="shared" si="15"/>
        <v>161.60830800327611</v>
      </c>
      <c r="AH23" s="178">
        <f t="shared" si="16"/>
        <v>2.9641183162246483</v>
      </c>
      <c r="AI23" s="178">
        <f t="shared" si="17"/>
        <v>5.0031427647540605</v>
      </c>
      <c r="AJ23" s="178">
        <f t="shared" si="18"/>
        <v>5.444319235342296</v>
      </c>
      <c r="AK23" s="187"/>
      <c r="AL23" s="188">
        <v>102.63995449672396</v>
      </c>
      <c r="AM23" s="188">
        <v>-36.013708003276065</v>
      </c>
      <c r="AN23" s="188">
        <v>-66.013708003276065</v>
      </c>
      <c r="AP23" s="182">
        <f t="shared" si="19"/>
        <v>0.95512400636680617</v>
      </c>
      <c r="AQ23" s="186">
        <v>2.1392454037532632E-2</v>
      </c>
      <c r="AR23" s="186">
        <f t="shared" si="20"/>
        <v>-4.4875993633193799E-2</v>
      </c>
      <c r="AS23" s="189"/>
      <c r="AT23" s="190">
        <v>3.0677264705882354</v>
      </c>
      <c r="AU23" s="190">
        <v>2.3765927647540606</v>
      </c>
      <c r="AV23" s="190">
        <v>-0.24431923534229583</v>
      </c>
      <c r="AX23" s="190">
        <v>48.066291996723976</v>
      </c>
      <c r="AY23" s="190">
        <v>63.648000000000003</v>
      </c>
      <c r="AZ23" s="190">
        <v>-15.581708003276027</v>
      </c>
      <c r="BA23" s="191">
        <v>-4.2206067271181695E-2</v>
      </c>
      <c r="BB23" s="190">
        <v>77.792000000000002</v>
      </c>
      <c r="BC23" s="190">
        <v>-29.725708003276026</v>
      </c>
      <c r="BD23" s="191">
        <v>-7.7546867801055436E-2</v>
      </c>
    </row>
    <row r="24" spans="2:106" x14ac:dyDescent="0.55000000000000004">
      <c r="CN24" s="54" t="s">
        <v>547</v>
      </c>
    </row>
    <row r="25" spans="2:106" x14ac:dyDescent="0.55000000000000004">
      <c r="AQ25" s="54" t="s">
        <v>551</v>
      </c>
      <c r="BE25" s="54" t="s">
        <v>554</v>
      </c>
      <c r="BY25" s="54" t="s">
        <v>557</v>
      </c>
      <c r="CN25" s="54" t="s">
        <v>548</v>
      </c>
    </row>
    <row r="26" spans="2:106" x14ac:dyDescent="0.55000000000000004">
      <c r="AC26" s="54" t="s">
        <v>560</v>
      </c>
      <c r="AQ26" s="54" t="s">
        <v>552</v>
      </c>
      <c r="BC26" s="192" t="s">
        <v>457</v>
      </c>
      <c r="BE26" s="54" t="s">
        <v>555</v>
      </c>
      <c r="CA26" s="54" t="s">
        <v>558</v>
      </c>
      <c r="CN26" s="54" t="s">
        <v>549</v>
      </c>
    </row>
    <row r="27" spans="2:106" x14ac:dyDescent="0.55000000000000004">
      <c r="W27" s="54" t="s">
        <v>562</v>
      </c>
      <c r="X27" s="56"/>
      <c r="Y27" s="56"/>
      <c r="Z27" s="56"/>
      <c r="AA27" s="56"/>
      <c r="AC27" s="54" t="s">
        <v>561</v>
      </c>
      <c r="AD27" s="56"/>
      <c r="AE27" s="56"/>
      <c r="AF27" s="56"/>
      <c r="AH27" s="54" t="s">
        <v>561</v>
      </c>
      <c r="AI27" s="56"/>
      <c r="AJ27" s="56"/>
      <c r="AL27" s="54" t="s">
        <v>563</v>
      </c>
      <c r="AM27" s="56"/>
      <c r="AN27" s="56"/>
      <c r="AO27" s="56"/>
      <c r="AQ27" s="54" t="s">
        <v>553</v>
      </c>
      <c r="AR27" s="56"/>
      <c r="AS27" s="56"/>
      <c r="AT27" s="56"/>
      <c r="AU27" s="56"/>
      <c r="AV27" s="56"/>
      <c r="AX27" s="54" t="s">
        <v>564</v>
      </c>
      <c r="BE27" s="54" t="s">
        <v>556</v>
      </c>
      <c r="BF27" s="56"/>
      <c r="BG27" s="56"/>
      <c r="BH27" s="56"/>
      <c r="BI27" s="56"/>
      <c r="BL27" s="54" t="s">
        <v>564</v>
      </c>
      <c r="BP27" s="54" t="s">
        <v>565</v>
      </c>
      <c r="BQ27" s="56"/>
      <c r="BR27" s="56"/>
      <c r="BS27" s="56"/>
      <c r="BT27" s="56"/>
      <c r="BU27" s="54" t="s">
        <v>566</v>
      </c>
      <c r="BV27" s="56"/>
      <c r="BW27" s="56"/>
      <c r="BX27" s="56"/>
      <c r="CA27" s="54" t="s">
        <v>559</v>
      </c>
      <c r="CB27" s="56"/>
      <c r="CC27" s="56"/>
      <c r="CD27" s="56"/>
      <c r="CF27" s="54" t="s">
        <v>567</v>
      </c>
      <c r="CG27" s="56"/>
      <c r="CH27" s="56"/>
      <c r="CI27" s="56"/>
      <c r="CN27" s="54" t="s">
        <v>550</v>
      </c>
      <c r="CO27" s="56"/>
      <c r="CP27" s="56"/>
      <c r="CQ27" s="56"/>
    </row>
    <row r="28" spans="2:106" ht="135.30000000000001" x14ac:dyDescent="0.55000000000000004">
      <c r="W28" s="193"/>
      <c r="X28" s="194" t="s">
        <v>141</v>
      </c>
      <c r="Y28" s="194" t="s">
        <v>145</v>
      </c>
      <c r="Z28" s="194" t="s">
        <v>458</v>
      </c>
      <c r="AA28" s="194" t="s">
        <v>223</v>
      </c>
      <c r="AC28" s="193"/>
      <c r="AD28" s="194" t="s">
        <v>141</v>
      </c>
      <c r="AE28" s="194" t="s">
        <v>443</v>
      </c>
      <c r="AF28" s="194" t="s">
        <v>223</v>
      </c>
      <c r="AH28" s="193"/>
      <c r="AI28" s="194" t="s">
        <v>223</v>
      </c>
      <c r="AJ28" s="195" t="s">
        <v>459</v>
      </c>
      <c r="AL28" s="193"/>
      <c r="AM28" s="192" t="s">
        <v>460</v>
      </c>
      <c r="AN28" s="192" t="s">
        <v>428</v>
      </c>
      <c r="AO28" s="194" t="s">
        <v>429</v>
      </c>
      <c r="AQ28" s="196"/>
      <c r="AR28" s="194" t="s">
        <v>429</v>
      </c>
      <c r="AS28" s="194" t="s">
        <v>223</v>
      </c>
      <c r="AT28" s="194" t="s">
        <v>461</v>
      </c>
      <c r="AU28" s="194" t="s">
        <v>462</v>
      </c>
      <c r="AV28" s="194" t="s">
        <v>463</v>
      </c>
      <c r="AX28" s="193"/>
      <c r="AY28" s="194" t="s">
        <v>141</v>
      </c>
      <c r="AZ28" s="194" t="str">
        <f>W6</f>
        <v>80% Insured Value</v>
      </c>
      <c r="BA28" s="197" t="str">
        <f>X6</f>
        <v>MASC 2018 Insured Value</v>
      </c>
      <c r="BB28" s="194" t="s">
        <v>464</v>
      </c>
      <c r="BC28" s="194" t="s">
        <v>465</v>
      </c>
      <c r="BE28" s="193"/>
      <c r="BF28" s="192" t="s">
        <v>460</v>
      </c>
      <c r="BG28" s="194" t="s">
        <v>141</v>
      </c>
      <c r="BH28" s="194" t="s">
        <v>466</v>
      </c>
      <c r="BI28" s="194" t="s">
        <v>467</v>
      </c>
      <c r="BJ28" s="194" t="s">
        <v>223</v>
      </c>
      <c r="BL28" s="193"/>
      <c r="BM28" s="194" t="str">
        <f>W6&amp;" Premium $/Acre"</f>
        <v>80% Insured Value Premium $/Acre</v>
      </c>
      <c r="BN28" s="194" t="s">
        <v>442</v>
      </c>
      <c r="BO28" s="198"/>
      <c r="BP28" s="196"/>
      <c r="BQ28" s="194" t="s">
        <v>461</v>
      </c>
      <c r="BR28" s="194" t="s">
        <v>462</v>
      </c>
      <c r="BS28" s="194" t="s">
        <v>463</v>
      </c>
      <c r="BU28" s="196"/>
      <c r="BV28" s="194" t="s">
        <v>141</v>
      </c>
      <c r="BW28" s="194" t="s">
        <v>468</v>
      </c>
      <c r="BX28" s="194" t="s">
        <v>148</v>
      </c>
      <c r="BY28" s="194" t="str">
        <f>" Costs Not Covered By "&amp;W6&amp;" AgriInsurance"</f>
        <v xml:space="preserve"> Costs Not Covered By 80% Insured Value AgriInsurance</v>
      </c>
      <c r="CA28" s="196"/>
      <c r="CB28" s="199" t="s">
        <v>447</v>
      </c>
      <c r="CC28" s="199" t="s">
        <v>448</v>
      </c>
      <c r="CD28" s="199" t="s">
        <v>417</v>
      </c>
      <c r="CE28" s="199"/>
      <c r="CF28" s="196"/>
      <c r="CG28" s="199" t="s">
        <v>449</v>
      </c>
      <c r="CH28" s="199" t="s">
        <v>450</v>
      </c>
      <c r="CI28" s="199" t="s">
        <v>451</v>
      </c>
      <c r="CJ28" s="199" t="s">
        <v>449</v>
      </c>
      <c r="CK28" s="199" t="s">
        <v>450</v>
      </c>
      <c r="CL28" s="199" t="s">
        <v>451</v>
      </c>
      <c r="CN28" s="196"/>
      <c r="CO28" s="199" t="s">
        <v>452</v>
      </c>
      <c r="CP28" s="200" t="s">
        <v>469</v>
      </c>
      <c r="CQ28" s="200" t="s">
        <v>470</v>
      </c>
      <c r="CR28" s="200" t="s">
        <v>471</v>
      </c>
      <c r="CS28" s="200" t="s">
        <v>472</v>
      </c>
      <c r="CT28" s="200" t="s">
        <v>473</v>
      </c>
      <c r="CU28" s="200" t="s">
        <v>474</v>
      </c>
      <c r="CV28" s="199" t="s">
        <v>475</v>
      </c>
      <c r="CW28" s="200" t="s">
        <v>476</v>
      </c>
      <c r="CX28" s="200" t="s">
        <v>470</v>
      </c>
      <c r="CY28" s="200" t="s">
        <v>471</v>
      </c>
      <c r="CZ28" s="200" t="s">
        <v>477</v>
      </c>
      <c r="DA28" s="200" t="s">
        <v>473</v>
      </c>
      <c r="DB28" s="200" t="s">
        <v>474</v>
      </c>
    </row>
    <row r="29" spans="2:106" x14ac:dyDescent="0.55000000000000004">
      <c r="V29" s="171">
        <v>1</v>
      </c>
      <c r="W29" s="56" t="str">
        <f>$B$7</f>
        <v>Canola</v>
      </c>
      <c r="X29" s="201">
        <f>$C$7</f>
        <v>244.95043592838095</v>
      </c>
      <c r="Y29" s="201">
        <f>$D$7</f>
        <v>134.73952500000001</v>
      </c>
      <c r="Z29" s="201">
        <f>$E$7</f>
        <v>30</v>
      </c>
      <c r="AA29" s="201">
        <f>$F$7</f>
        <v>409.68996092838097</v>
      </c>
      <c r="AC29" s="56" t="str">
        <f>$B$7</f>
        <v>Canola</v>
      </c>
      <c r="AD29" s="202">
        <f>$Q$7</f>
        <v>21.8</v>
      </c>
      <c r="AE29" s="202">
        <f>$R$7</f>
        <v>33.799999999999997</v>
      </c>
      <c r="AF29" s="202">
        <f>$S$7</f>
        <v>36.4</v>
      </c>
      <c r="AH29" s="56" t="str">
        <f>$B$7</f>
        <v>Canola</v>
      </c>
      <c r="AI29" s="202">
        <f>$S$7</f>
        <v>36.4</v>
      </c>
      <c r="AJ29" s="203">
        <f>$T$7</f>
        <v>1.098901098901099</v>
      </c>
      <c r="AL29" s="56" t="str">
        <f>$B$7</f>
        <v>Canola</v>
      </c>
      <c r="AM29" s="202">
        <f>$H$7</f>
        <v>40</v>
      </c>
      <c r="AN29" s="204">
        <f>$I$7</f>
        <v>11.25</v>
      </c>
      <c r="AO29" s="204">
        <f>$J$7</f>
        <v>450</v>
      </c>
      <c r="AQ29" s="56" t="str">
        <f>$B$7</f>
        <v>Canola</v>
      </c>
      <c r="AR29" s="204">
        <f>$J$7</f>
        <v>450</v>
      </c>
      <c r="AS29" s="201">
        <f>$F$7</f>
        <v>409.68996092838097</v>
      </c>
      <c r="AT29" s="205">
        <f>$L$7</f>
        <v>205.04956407161905</v>
      </c>
      <c r="AU29" s="205">
        <f>$M$7</f>
        <v>70.31003907161903</v>
      </c>
      <c r="AV29" s="205">
        <f>$N$7</f>
        <v>40.31003907161903</v>
      </c>
      <c r="AX29" s="56" t="str">
        <f>$B$7</f>
        <v>Canola</v>
      </c>
      <c r="AY29" s="201">
        <f>$C$7</f>
        <v>244.95043592838095</v>
      </c>
      <c r="AZ29" s="206">
        <f>$W$7</f>
        <v>330.42600000000004</v>
      </c>
      <c r="BA29" s="201">
        <f>$X$7</f>
        <v>10.55</v>
      </c>
      <c r="BB29" s="207">
        <f>$Y$7</f>
        <v>1.3489504468430935</v>
      </c>
      <c r="BC29" s="207">
        <f>$Z$7</f>
        <v>0.80652696309969563</v>
      </c>
      <c r="BE29" s="56" t="str">
        <f>$B$7</f>
        <v>Canola</v>
      </c>
      <c r="BF29" s="202">
        <f>$H$7</f>
        <v>40</v>
      </c>
      <c r="BG29" s="204">
        <f>$AH$7</f>
        <v>6.1237608982095235</v>
      </c>
      <c r="BH29" s="204">
        <f>$AI$7</f>
        <v>9.4922490232095242</v>
      </c>
      <c r="BI29" s="204">
        <f>$I$7</f>
        <v>11.25</v>
      </c>
      <c r="BJ29" s="204">
        <f>$AJ$7</f>
        <v>10.242249023209524</v>
      </c>
      <c r="BL29" s="56" t="str">
        <f>$B$7</f>
        <v>Canola</v>
      </c>
      <c r="BM29" s="201">
        <f>$AA$7</f>
        <v>7.4649999999999999</v>
      </c>
      <c r="BN29" s="208">
        <f>$AB$7</f>
        <v>2.2592047841271567E-2</v>
      </c>
      <c r="BO29" s="207"/>
      <c r="BP29" s="56" t="str">
        <f>$B$7</f>
        <v>Canola</v>
      </c>
      <c r="BQ29" s="205">
        <f>$AL$7</f>
        <v>139.79956407161905</v>
      </c>
      <c r="BR29" s="205">
        <f>$AM$7</f>
        <v>5.0600390716190304</v>
      </c>
      <c r="BS29" s="205">
        <f>$AN$7</f>
        <v>-24.93996092838097</v>
      </c>
      <c r="BU29" s="56" t="str">
        <f>$B$7</f>
        <v>Canola</v>
      </c>
      <c r="BV29" s="205">
        <f>$AD$7</f>
        <v>0</v>
      </c>
      <c r="BW29" s="205">
        <f>$AE$7</f>
        <v>49.263960928380925</v>
      </c>
      <c r="BX29" s="205">
        <f>$AF$7</f>
        <v>30</v>
      </c>
      <c r="BY29" s="205">
        <f>$AG$7</f>
        <v>79.263960928380925</v>
      </c>
      <c r="CA29" s="56" t="str">
        <f>$B$7</f>
        <v>Canola</v>
      </c>
      <c r="CB29" s="205">
        <f>$AP$7</f>
        <v>1.0983915714709587</v>
      </c>
      <c r="CC29" s="208">
        <f>$AQ$7</f>
        <v>3.6248574651538322E-2</v>
      </c>
      <c r="CD29" s="203">
        <f>$AR$7</f>
        <v>9.8391571470958589E-2</v>
      </c>
      <c r="CE29" s="208"/>
      <c r="CF29" s="56" t="str">
        <f>$B$7</f>
        <v>Canola</v>
      </c>
      <c r="CG29" s="205">
        <f>$AT$7</f>
        <v>8.2606500000000018</v>
      </c>
      <c r="CH29" s="205">
        <f>$AU$7</f>
        <v>1.9815990232095224</v>
      </c>
      <c r="CI29" s="205">
        <f>$AV$7</f>
        <v>1.0077509767904758</v>
      </c>
      <c r="CJ29" s="205">
        <f>$AT$7</f>
        <v>8.2606500000000018</v>
      </c>
      <c r="CK29" s="205">
        <f>$AU$7</f>
        <v>1.9815990232095224</v>
      </c>
      <c r="CL29" s="205">
        <f>$AV$7</f>
        <v>1.0077509767904758</v>
      </c>
      <c r="CN29" s="56" t="str">
        <f>$B$7</f>
        <v>Canola</v>
      </c>
      <c r="CO29" s="205">
        <f>$AX$7</f>
        <v>104.99003907161904</v>
      </c>
      <c r="CP29" s="205">
        <f>$AY$7</f>
        <v>81</v>
      </c>
      <c r="CQ29" s="205">
        <f>$AZ$7</f>
        <v>23.990039071619037</v>
      </c>
      <c r="CR29" s="208">
        <f>$BA$7</f>
        <v>5.63133289638083E-2</v>
      </c>
      <c r="CS29" s="205">
        <f>$BB$7</f>
        <v>99</v>
      </c>
      <c r="CT29" s="205">
        <f>$BC$7</f>
        <v>5.9900390716190373</v>
      </c>
      <c r="CU29" s="208">
        <f>$BD$7</f>
        <v>1.3490776330995947E-2</v>
      </c>
      <c r="CV29" s="209">
        <f>AVERAGE($CO$29:$CO$31)</f>
        <v>99.105097362116609</v>
      </c>
      <c r="CW29" s="209">
        <f>AVERAGE($CP$29:$CP$31)</f>
        <v>74.804999999999993</v>
      </c>
      <c r="CX29" s="209">
        <f>AVERAGE($CQ$29:$CQ$31)</f>
        <v>24.300097362116606</v>
      </c>
      <c r="CY29" s="191">
        <f>AVERAGE($CR$29:$CR$31)</f>
        <v>6.2013617287167359E-2</v>
      </c>
      <c r="CZ29" s="209">
        <f>AVERAGE($CS$29:$CS$31)</f>
        <v>91.428333333333327</v>
      </c>
      <c r="DA29" s="209">
        <f>AVERAGE($CT$29:$CT$31)</f>
        <v>7.6767640287832677</v>
      </c>
      <c r="DB29" s="191">
        <f>AVERAGE($CU$29:$CU$31)</f>
        <v>1.8688606060596604E-2</v>
      </c>
    </row>
    <row r="30" spans="2:106" x14ac:dyDescent="0.55000000000000004">
      <c r="V30" s="171">
        <v>2</v>
      </c>
      <c r="W30" s="56" t="str">
        <f>$B$8</f>
        <v>Wheat - Hard Red Spring</v>
      </c>
      <c r="X30" s="201">
        <f>$C$8</f>
        <v>199.48883328165601</v>
      </c>
      <c r="Y30" s="201">
        <f>$D$8</f>
        <v>136.83638437500002</v>
      </c>
      <c r="Z30" s="201">
        <f>$E$8</f>
        <v>30</v>
      </c>
      <c r="AA30" s="201">
        <f>$F$8</f>
        <v>366.32521765665604</v>
      </c>
      <c r="AC30" s="56" t="str">
        <f>$B$8</f>
        <v>Wheat - Hard Red Spring</v>
      </c>
      <c r="AD30" s="202">
        <f>$Q$8</f>
        <v>29.1</v>
      </c>
      <c r="AE30" s="202">
        <f>$R$8</f>
        <v>49.1</v>
      </c>
      <c r="AF30" s="202">
        <f>$S$8</f>
        <v>53.5</v>
      </c>
      <c r="AH30" s="56" t="str">
        <f>$B$8</f>
        <v>Wheat - Hard Red Spring</v>
      </c>
      <c r="AI30" s="202">
        <f>$S$8</f>
        <v>53.5</v>
      </c>
      <c r="AJ30" s="203">
        <f>$T$8</f>
        <v>1.02803738317757</v>
      </c>
      <c r="AL30" s="56" t="str">
        <f>$B$8</f>
        <v>Wheat - Hard Red Spring</v>
      </c>
      <c r="AM30" s="202">
        <f>$H$8</f>
        <v>55</v>
      </c>
      <c r="AN30" s="204">
        <f>$I$8</f>
        <v>6.85</v>
      </c>
      <c r="AO30" s="204">
        <f>$J$8</f>
        <v>376.75</v>
      </c>
      <c r="AQ30" s="56" t="str">
        <f>$B$8</f>
        <v>Wheat - Hard Red Spring</v>
      </c>
      <c r="AR30" s="204">
        <f>$J$8</f>
        <v>376.75</v>
      </c>
      <c r="AS30" s="201">
        <f>$F$8</f>
        <v>366.32521765665604</v>
      </c>
      <c r="AT30" s="205">
        <f>$L$8</f>
        <v>177.26116671834399</v>
      </c>
      <c r="AU30" s="205">
        <f>$M$8</f>
        <v>40.424782343343963</v>
      </c>
      <c r="AV30" s="205">
        <f>$N$8</f>
        <v>10.424782343343963</v>
      </c>
      <c r="AX30" s="56" t="str">
        <f>$B$8</f>
        <v>Wheat - Hard Red Spring</v>
      </c>
      <c r="AY30" s="201">
        <f>$C$8</f>
        <v>199.48883328165601</v>
      </c>
      <c r="AZ30" s="206">
        <f>$W$8</f>
        <v>273.99880000000002</v>
      </c>
      <c r="BA30" s="201">
        <f>$X$8</f>
        <v>6.53</v>
      </c>
      <c r="BB30" s="207">
        <f>$Y$8</f>
        <v>1.3735044488086421</v>
      </c>
      <c r="BC30" s="207">
        <f>$Z$8</f>
        <v>0.7479659788445403</v>
      </c>
      <c r="BE30" s="56" t="str">
        <f>$B$8</f>
        <v>Wheat - Hard Red Spring</v>
      </c>
      <c r="BF30" s="202">
        <f>$H$8</f>
        <v>55</v>
      </c>
      <c r="BG30" s="204">
        <f>$AH$8</f>
        <v>3.6270696960301092</v>
      </c>
      <c r="BH30" s="204">
        <f>$AI$8</f>
        <v>6.1150039573937462</v>
      </c>
      <c r="BI30" s="204">
        <f>$I$8</f>
        <v>6.85</v>
      </c>
      <c r="BJ30" s="204">
        <f>$AJ$8</f>
        <v>6.6604585028482912</v>
      </c>
      <c r="BL30" s="56" t="str">
        <f>$B$8</f>
        <v>Wheat - Hard Red Spring</v>
      </c>
      <c r="BM30" s="201">
        <f>$AA$8</f>
        <v>7.7024999999999988</v>
      </c>
      <c r="BN30" s="208">
        <f>$AB$8</f>
        <v>2.8111436984395544E-2</v>
      </c>
      <c r="BO30" s="207"/>
      <c r="BP30" s="56" t="str">
        <f>$B$8</f>
        <v>Wheat - Hard Red Spring</v>
      </c>
      <c r="BQ30" s="205">
        <f>$AL$8</f>
        <v>121.09116671834397</v>
      </c>
      <c r="BR30" s="205">
        <f>$AM$8</f>
        <v>-15.745217656656052</v>
      </c>
      <c r="BS30" s="205">
        <f>$AN$8</f>
        <v>-45.745217656656052</v>
      </c>
      <c r="BU30" s="56" t="str">
        <f>$B$8</f>
        <v>Wheat - Hard Red Spring</v>
      </c>
      <c r="BV30" s="205">
        <f>$AD$8</f>
        <v>0</v>
      </c>
      <c r="BW30" s="205">
        <f>$AE$8</f>
        <v>62.32641765665602</v>
      </c>
      <c r="BX30" s="205">
        <f>$AF$8</f>
        <v>30</v>
      </c>
      <c r="BY30" s="205">
        <f>$AG$8</f>
        <v>92.32641765665602</v>
      </c>
      <c r="CA30" s="56" t="str">
        <f>$B$8</f>
        <v>Wheat - Hard Red Spring</v>
      </c>
      <c r="CB30" s="205">
        <f>$AP$8</f>
        <v>1.0284577251056595</v>
      </c>
      <c r="CC30" s="208">
        <f>$AQ$8</f>
        <v>2.8460783229175491E-2</v>
      </c>
      <c r="CD30" s="203">
        <f>$AR$8</f>
        <v>2.8457725105659398E-2</v>
      </c>
      <c r="CE30" s="208"/>
      <c r="CF30" s="56" t="str">
        <f>$B$8</f>
        <v>Wheat - Hard Red Spring</v>
      </c>
      <c r="CG30" s="205">
        <f>$AT$8</f>
        <v>4.9817963636363638</v>
      </c>
      <c r="CH30" s="205">
        <f>$AU$8</f>
        <v>1.6786621392119274</v>
      </c>
      <c r="CI30" s="205">
        <f>$AV$8</f>
        <v>0.18954149715170843</v>
      </c>
      <c r="CJ30" s="205">
        <v>0</v>
      </c>
      <c r="CN30" s="56" t="str">
        <f>$B$8</f>
        <v>Wheat - Hard Red Spring</v>
      </c>
      <c r="CO30" s="205">
        <f>$AX$8</f>
        <v>75.104782343344027</v>
      </c>
      <c r="CP30" s="205">
        <f>$AY$8</f>
        <v>67.814999999999998</v>
      </c>
      <c r="CQ30" s="205">
        <f>$AZ$8</f>
        <v>7.2897823433440294</v>
      </c>
      <c r="CR30" s="208">
        <f>$BA$8</f>
        <v>1.9730899282148197E-2</v>
      </c>
      <c r="CS30" s="205">
        <f>$BB$8</f>
        <v>82.885000000000005</v>
      </c>
      <c r="CT30" s="205">
        <f>$BC$8</f>
        <v>-7.780217656655978</v>
      </c>
      <c r="CU30" s="208">
        <f>$BD$8</f>
        <v>-2.0233046193531855E-2</v>
      </c>
      <c r="CV30" s="209">
        <f>AVERAGE($CO$29:$CO$31)</f>
        <v>99.105097362116609</v>
      </c>
      <c r="CW30" s="209">
        <f>AVERAGE($CP$29:$CP$31)</f>
        <v>74.804999999999993</v>
      </c>
      <c r="CX30" s="209">
        <f>AVERAGE($CQ$29:$CQ$31)</f>
        <v>24.300097362116606</v>
      </c>
      <c r="CY30" s="191">
        <f>AVERAGE($CR$29:$CR$31)</f>
        <v>6.2013617287167359E-2</v>
      </c>
      <c r="CZ30" s="209">
        <f>AVERAGE($CS$29:$CS$31)</f>
        <v>91.428333333333327</v>
      </c>
      <c r="DA30" s="209">
        <f>AVERAGE($CT$29:$CT$31)</f>
        <v>7.6767640287832677</v>
      </c>
      <c r="DB30" s="191">
        <f>AVERAGE($CU$29:$CU$31)</f>
        <v>1.8688606060596604E-2</v>
      </c>
    </row>
    <row r="31" spans="2:106" x14ac:dyDescent="0.55000000000000004">
      <c r="V31" s="171">
        <v>3</v>
      </c>
      <c r="W31" s="56" t="str">
        <f>$B$9</f>
        <v>Soybeans</v>
      </c>
      <c r="X31" s="201">
        <f>$C$9</f>
        <v>202.72000432861327</v>
      </c>
      <c r="Y31" s="201">
        <f>$D$9</f>
        <v>134.73952500000001</v>
      </c>
      <c r="Z31" s="201">
        <f>$E$9</f>
        <v>30</v>
      </c>
      <c r="AA31" s="201">
        <f>$F$9</f>
        <v>367.45952932861326</v>
      </c>
      <c r="AC31" s="56" t="str">
        <f>$B$9</f>
        <v>Soybeans</v>
      </c>
      <c r="AD31" s="202">
        <f>$Q$9</f>
        <v>19.3</v>
      </c>
      <c r="AE31" s="202">
        <f>$R$9</f>
        <v>32.1</v>
      </c>
      <c r="AF31" s="202">
        <f>$S$9</f>
        <v>35</v>
      </c>
      <c r="AH31" s="56" t="str">
        <f>$B$9</f>
        <v>Soybeans</v>
      </c>
      <c r="AI31" s="202">
        <f>$S$9</f>
        <v>35</v>
      </c>
      <c r="AJ31" s="203">
        <f>$T$9</f>
        <v>1.1428571428571428</v>
      </c>
      <c r="AL31" s="56" t="str">
        <f>$B$9</f>
        <v>Soybeans</v>
      </c>
      <c r="AM31" s="202">
        <f>$H$9</f>
        <v>40</v>
      </c>
      <c r="AN31" s="204">
        <f>$I$9</f>
        <v>10.5</v>
      </c>
      <c r="AO31" s="204">
        <f>$J$9</f>
        <v>420</v>
      </c>
      <c r="AQ31" s="56" t="str">
        <f>$B$9</f>
        <v>Soybeans</v>
      </c>
      <c r="AR31" s="204">
        <f>$J$9</f>
        <v>420</v>
      </c>
      <c r="AS31" s="201">
        <f>$F$9</f>
        <v>367.45952932861326</v>
      </c>
      <c r="AT31" s="205">
        <f>$L$9</f>
        <v>217.27999567138673</v>
      </c>
      <c r="AU31" s="205">
        <f>$M$9</f>
        <v>82.540470671386743</v>
      </c>
      <c r="AV31" s="205">
        <f>$N$9</f>
        <v>52.540470671386743</v>
      </c>
      <c r="AX31" s="56" t="str">
        <f>$B$9</f>
        <v>Soybeans</v>
      </c>
      <c r="AY31" s="201">
        <f>$C$9</f>
        <v>202.72000432861327</v>
      </c>
      <c r="AZ31" s="206">
        <f>$W$9</f>
        <v>282.65039999999999</v>
      </c>
      <c r="BA31" s="201">
        <f>$X$9</f>
        <v>10.61</v>
      </c>
      <c r="BB31" s="207">
        <f>$Y$9</f>
        <v>1.3942896308438211</v>
      </c>
      <c r="BC31" s="207">
        <f>$Z$9</f>
        <v>0.76920144244573452</v>
      </c>
      <c r="BE31" s="56" t="str">
        <f>$B$9</f>
        <v>Soybeans</v>
      </c>
      <c r="BF31" s="202">
        <f>$H$9</f>
        <v>40</v>
      </c>
      <c r="BG31" s="204">
        <f>$AH$9</f>
        <v>5.0680001082153314</v>
      </c>
      <c r="BH31" s="204">
        <f>$AI$9</f>
        <v>8.4364882332153321</v>
      </c>
      <c r="BI31" s="204">
        <f>$I$9</f>
        <v>10.5</v>
      </c>
      <c r="BJ31" s="204">
        <f>$AJ$9</f>
        <v>9.1864882332153321</v>
      </c>
      <c r="BL31" s="56" t="str">
        <f>$B$9</f>
        <v>Soybeans</v>
      </c>
      <c r="BM31" s="201">
        <f>$AA$9</f>
        <v>12.662499999999998</v>
      </c>
      <c r="BN31" s="208">
        <f>$AB$9</f>
        <v>4.4799158253446651E-2</v>
      </c>
      <c r="BO31" s="207"/>
      <c r="BP31" s="56" t="str">
        <f>$B$9</f>
        <v>Soybeans</v>
      </c>
      <c r="BQ31" s="205">
        <f>$AL$9</f>
        <v>156.37999567138675</v>
      </c>
      <c r="BR31" s="205">
        <f>$AM$9</f>
        <v>21.640470671386765</v>
      </c>
      <c r="BS31" s="205">
        <f>$AN$9</f>
        <v>-8.3595293286132346</v>
      </c>
      <c r="BU31" s="56" t="str">
        <f>$B$9</f>
        <v>Soybeans</v>
      </c>
      <c r="BV31" s="205">
        <f>$AD$9</f>
        <v>0</v>
      </c>
      <c r="BW31" s="205">
        <f>$AE$9</f>
        <v>54.809129328613267</v>
      </c>
      <c r="BX31" s="205">
        <f>$AF$9</f>
        <v>30</v>
      </c>
      <c r="BY31" s="205">
        <f>$AG$9</f>
        <v>84.809129328613267</v>
      </c>
      <c r="CA31" s="56" t="str">
        <f>$B$9</f>
        <v>Soybeans</v>
      </c>
      <c r="CB31" s="205">
        <f>$AP$9</f>
        <v>1.142983013033799</v>
      </c>
      <c r="CC31" s="208">
        <f>$AQ$9</f>
        <v>3.9676194067425237E-2</v>
      </c>
      <c r="CD31" s="203">
        <f>$AR$9</f>
        <v>0.14298301303379896</v>
      </c>
      <c r="CE31" s="208"/>
      <c r="CF31" s="56" t="str">
        <f>$B$9</f>
        <v>Soybeans</v>
      </c>
      <c r="CG31" s="205">
        <f>$AT$9</f>
        <v>7.0662599999999998</v>
      </c>
      <c r="CH31" s="205">
        <f>$AU$9</f>
        <v>2.1202282332153324</v>
      </c>
      <c r="CI31" s="205">
        <f>$AV$9</f>
        <v>1.3135117667846679</v>
      </c>
      <c r="CJ31" s="205">
        <v>0</v>
      </c>
      <c r="CN31" s="56" t="str">
        <f>$B$9</f>
        <v>Soybeans</v>
      </c>
      <c r="CO31" s="205">
        <f>$AX$9</f>
        <v>117.22047067138675</v>
      </c>
      <c r="CP31" s="205">
        <f>$AY$9</f>
        <v>75.599999999999994</v>
      </c>
      <c r="CQ31" s="205">
        <f>$AZ$9</f>
        <v>41.620470671386755</v>
      </c>
      <c r="CR31" s="208">
        <f>$BA$9</f>
        <v>0.10999662361554557</v>
      </c>
      <c r="CS31" s="205">
        <f>$BB$9</f>
        <v>92.4</v>
      </c>
      <c r="CT31" s="205">
        <f>$BC$9</f>
        <v>24.820470671386744</v>
      </c>
      <c r="CU31" s="208">
        <f>$BD$9</f>
        <v>6.2808088044325722E-2</v>
      </c>
      <c r="CV31" s="209">
        <f>AVERAGE($CO$29:$CO$31)</f>
        <v>99.105097362116609</v>
      </c>
      <c r="CW31" s="209">
        <f>AVERAGE($CP$29:$CP$31)</f>
        <v>74.804999999999993</v>
      </c>
      <c r="CX31" s="209">
        <f>AVERAGE($CQ$29:$CQ$31)</f>
        <v>24.300097362116606</v>
      </c>
      <c r="CY31" s="191">
        <f>AVERAGE($CR$29:$CR$31)</f>
        <v>6.2013617287167359E-2</v>
      </c>
      <c r="CZ31" s="209">
        <f>AVERAGE($CS$29:$CS$31)</f>
        <v>91.428333333333327</v>
      </c>
      <c r="DA31" s="209">
        <f>AVERAGE($CT$29:$CT$31)</f>
        <v>7.6767640287832677</v>
      </c>
      <c r="DB31" s="191">
        <f>AVERAGE($CU$29:$CU$31)</f>
        <v>1.8688606060596604E-2</v>
      </c>
    </row>
    <row r="32" spans="2:106" x14ac:dyDescent="0.55000000000000004">
      <c r="V32" s="171">
        <v>4</v>
      </c>
      <c r="W32" s="56" t="str">
        <f>$B$10</f>
        <v>Barley</v>
      </c>
      <c r="X32" s="201">
        <f>$C$10</f>
        <v>178.38326176678888</v>
      </c>
      <c r="Y32" s="201">
        <f>$D$10</f>
        <v>139.35261562500003</v>
      </c>
      <c r="Z32" s="201">
        <f>$E$10</f>
        <v>30</v>
      </c>
      <c r="AA32" s="201">
        <f>$F$10</f>
        <v>347.7358773917889</v>
      </c>
      <c r="AC32" s="56" t="str">
        <f>$B$10</f>
        <v>Barley</v>
      </c>
      <c r="AD32" s="202">
        <f>$Q$10</f>
        <v>46.3</v>
      </c>
      <c r="AE32" s="202">
        <f>$R$10</f>
        <v>82.5</v>
      </c>
      <c r="AF32" s="202">
        <f>$S$10</f>
        <v>90.3</v>
      </c>
      <c r="AH32" s="56" t="str">
        <f>$B$10</f>
        <v>Barley</v>
      </c>
      <c r="AI32" s="202">
        <f>$S$10</f>
        <v>90.3</v>
      </c>
      <c r="AJ32" s="203">
        <f>$T$10</f>
        <v>0.80841638981173869</v>
      </c>
      <c r="AL32" s="56" t="str">
        <f>$B$10</f>
        <v>Barley</v>
      </c>
      <c r="AM32" s="202">
        <f>$H$10</f>
        <v>73</v>
      </c>
      <c r="AN32" s="204">
        <f>$I$10</f>
        <v>3.85</v>
      </c>
      <c r="AO32" s="204">
        <f>$J$10</f>
        <v>281.05</v>
      </c>
      <c r="AQ32" s="56" t="str">
        <f>$B$10</f>
        <v>Barley</v>
      </c>
      <c r="AR32" s="204">
        <f>$J$10</f>
        <v>281.05</v>
      </c>
      <c r="AS32" s="201">
        <f>$F$10</f>
        <v>347.7358773917889</v>
      </c>
      <c r="AT32" s="205">
        <f>$L$10</f>
        <v>102.66673823321113</v>
      </c>
      <c r="AU32" s="205">
        <f>$M$10</f>
        <v>-36.685877391788893</v>
      </c>
      <c r="AV32" s="205">
        <f>$N$10</f>
        <v>-66.685877391788893</v>
      </c>
      <c r="AX32" s="56" t="str">
        <f>$B$10</f>
        <v>Barley</v>
      </c>
      <c r="AY32" s="201">
        <f>$C$10</f>
        <v>178.38326176678888</v>
      </c>
      <c r="AZ32" s="206">
        <f>$W$10</f>
        <v>219.15120000000002</v>
      </c>
      <c r="BA32" s="201">
        <f>$X$10</f>
        <v>3.81</v>
      </c>
      <c r="BB32" s="207">
        <f>$Y$10</f>
        <v>1.2285412758429628</v>
      </c>
      <c r="BC32" s="207">
        <f>$Z$10</f>
        <v>0.63022314994861917</v>
      </c>
      <c r="BE32" s="56" t="str">
        <f>$B$10</f>
        <v>Barley</v>
      </c>
      <c r="BF32" s="202">
        <f>$H$10</f>
        <v>73</v>
      </c>
      <c r="BG32" s="204">
        <f>$AH$10</f>
        <v>2.4436063255724503</v>
      </c>
      <c r="BH32" s="204">
        <f>$AI$10</f>
        <v>4.3525462656409442</v>
      </c>
      <c r="BI32" s="204">
        <f>$I$10</f>
        <v>3.85</v>
      </c>
      <c r="BJ32" s="204">
        <f>$AJ$10</f>
        <v>4.7635051697505331</v>
      </c>
      <c r="BL32" s="56" t="str">
        <f>$B$10</f>
        <v>Barley</v>
      </c>
      <c r="BM32" s="201">
        <f>$AA$10</f>
        <v>8.8099999999999987</v>
      </c>
      <c r="BN32" s="208">
        <f>$AB$10</f>
        <v>4.0200555598144103E-2</v>
      </c>
      <c r="BO32" s="207"/>
      <c r="BP32" s="56" t="str">
        <f>$B$10</f>
        <v>Barley</v>
      </c>
      <c r="BQ32" s="205">
        <f>$AL$10</f>
        <v>60.701738233211131</v>
      </c>
      <c r="BR32" s="205">
        <f>$AM$10</f>
        <v>-78.650877391788896</v>
      </c>
      <c r="BS32" s="205">
        <f>$AN$10</f>
        <v>-108.6508773917889</v>
      </c>
      <c r="BU32" s="56" t="str">
        <f>$B$10</f>
        <v>Barley</v>
      </c>
      <c r="BV32" s="205">
        <f>$AD$10</f>
        <v>0</v>
      </c>
      <c r="BW32" s="205">
        <f>$AE$10</f>
        <v>98.584677391788887</v>
      </c>
      <c r="BX32" s="205">
        <f>$AF$10</f>
        <v>30</v>
      </c>
      <c r="BY32" s="205">
        <f>$AG$10</f>
        <v>128.58467739178889</v>
      </c>
      <c r="CA32" s="56" t="str">
        <f>$B$10</f>
        <v>Barley</v>
      </c>
      <c r="CB32" s="205">
        <f>$AP$10</f>
        <v>0.80822836604617909</v>
      </c>
      <c r="CC32" s="208">
        <f>$AQ$10</f>
        <v>7.5554448274231089E-3</v>
      </c>
      <c r="CD32" s="203">
        <f>$AR$10</f>
        <v>-0.19177163395382091</v>
      </c>
      <c r="CE32" s="208"/>
      <c r="CF32" s="56" t="str">
        <f>$B$10</f>
        <v>Barley</v>
      </c>
      <c r="CG32" s="205">
        <f>$AT$10</f>
        <v>3.0020712328767125</v>
      </c>
      <c r="CH32" s="205">
        <f>$AU$10</f>
        <v>1.7614339368738205</v>
      </c>
      <c r="CI32" s="205">
        <f>$AV$10</f>
        <v>-0.91350516975053297</v>
      </c>
      <c r="CJ32" s="205">
        <v>0</v>
      </c>
      <c r="CN32" s="56" t="str">
        <f>$B$10</f>
        <v>Barley</v>
      </c>
      <c r="CO32" s="205">
        <f>$AX$10</f>
        <v>-2.0058773917888857</v>
      </c>
      <c r="CP32" s="205">
        <f>$AY$10</f>
        <v>50.588999999999999</v>
      </c>
      <c r="CQ32" s="205">
        <f>$AZ$10</f>
        <v>-52.594877391788884</v>
      </c>
      <c r="CR32" s="208">
        <f>$BA$10</f>
        <v>-0.15763729928341846</v>
      </c>
      <c r="CS32" s="205">
        <f>$BB$10</f>
        <v>61.831000000000003</v>
      </c>
      <c r="CT32" s="205">
        <f>$BC$10</f>
        <v>-63.836877391788889</v>
      </c>
      <c r="CU32" s="208">
        <f>$BD$10</f>
        <v>-0.18509511836042017</v>
      </c>
    </row>
    <row r="33" spans="22:105" x14ac:dyDescent="0.55000000000000004">
      <c r="V33" s="171">
        <v>5</v>
      </c>
      <c r="W33" s="56" t="str">
        <f>$B$11</f>
        <v>Oats</v>
      </c>
      <c r="X33" s="201">
        <f>$C$11</f>
        <v>157.37599038727407</v>
      </c>
      <c r="Y33" s="201">
        <f>$D$11</f>
        <v>143.82591562500002</v>
      </c>
      <c r="Z33" s="201">
        <f>$E$11</f>
        <v>30</v>
      </c>
      <c r="AA33" s="201">
        <f>$F$11</f>
        <v>331.20190601227409</v>
      </c>
      <c r="AC33" s="56" t="str">
        <f>$B$11</f>
        <v>Oats</v>
      </c>
      <c r="AD33" s="202">
        <f>$Q$11</f>
        <v>48.4</v>
      </c>
      <c r="AE33" s="202">
        <f>$R$11</f>
        <v>92.7</v>
      </c>
      <c r="AF33" s="202">
        <f>$S$11</f>
        <v>101.9</v>
      </c>
      <c r="AH33" s="56" t="str">
        <f>$B$11</f>
        <v>Oats</v>
      </c>
      <c r="AI33" s="202">
        <f>$S$11</f>
        <v>101.9</v>
      </c>
      <c r="AJ33" s="203">
        <f>$T$11</f>
        <v>1.0304219823356231</v>
      </c>
      <c r="AL33" s="56" t="str">
        <f>$B$11</f>
        <v>Oats</v>
      </c>
      <c r="AM33" s="202">
        <f>$H$11</f>
        <v>105</v>
      </c>
      <c r="AN33" s="204">
        <f>$I$11</f>
        <v>3.25</v>
      </c>
      <c r="AO33" s="204">
        <f>$J$11</f>
        <v>341.25</v>
      </c>
      <c r="AQ33" s="56" t="str">
        <f>$B$11</f>
        <v>Oats</v>
      </c>
      <c r="AR33" s="204">
        <f>$J$11</f>
        <v>341.25</v>
      </c>
      <c r="AS33" s="201">
        <f>$F$11</f>
        <v>331.20190601227409</v>
      </c>
      <c r="AT33" s="205">
        <f>$L$11</f>
        <v>183.87400961272593</v>
      </c>
      <c r="AU33" s="205">
        <f>$M$11</f>
        <v>40.048093987725906</v>
      </c>
      <c r="AV33" s="205">
        <f>$N$11</f>
        <v>10.048093987725906</v>
      </c>
      <c r="AX33" s="56" t="str">
        <f>$B$11</f>
        <v>Oats</v>
      </c>
      <c r="AY33" s="201">
        <f>$C$11</f>
        <v>157.37599038727407</v>
      </c>
      <c r="AZ33" s="206">
        <f>$W$11</f>
        <v>262.596</v>
      </c>
      <c r="BA33" s="201">
        <f>$X$11</f>
        <v>3.16</v>
      </c>
      <c r="BB33" s="207">
        <f>$Y$11</f>
        <v>1.6685899758520875</v>
      </c>
      <c r="BC33" s="207">
        <f>$Z$11</f>
        <v>0.79285775604886888</v>
      </c>
      <c r="BE33" s="56" t="str">
        <f>$B$11</f>
        <v>Oats</v>
      </c>
      <c r="BF33" s="202">
        <f>$H$11</f>
        <v>105</v>
      </c>
      <c r="BG33" s="204">
        <f>$AH$11</f>
        <v>1.4988189560692768</v>
      </c>
      <c r="BH33" s="204">
        <f>$AI$11</f>
        <v>2.8685895810692772</v>
      </c>
      <c r="BI33" s="204">
        <f>$I$11</f>
        <v>3.25</v>
      </c>
      <c r="BJ33" s="204">
        <f>$AJ$11</f>
        <v>3.1543038667835628</v>
      </c>
      <c r="BL33" s="56" t="str">
        <f>$B$11</f>
        <v>Oats</v>
      </c>
      <c r="BM33" s="201">
        <f>$AA$11</f>
        <v>8.9199999999999982</v>
      </c>
      <c r="BN33" s="208">
        <f>$AB$11</f>
        <v>3.3968529604411331E-2</v>
      </c>
      <c r="BO33" s="207"/>
      <c r="BP33" s="56" t="str">
        <f>$B$11</f>
        <v>Oats</v>
      </c>
      <c r="BQ33" s="205">
        <f>$AL$11</f>
        <v>135.12400961272593</v>
      </c>
      <c r="BR33" s="205">
        <f>$AM$11</f>
        <v>-8.7019060122740939</v>
      </c>
      <c r="BS33" s="205">
        <f>$AN$11</f>
        <v>-38.701906012274094</v>
      </c>
      <c r="BU33" s="56" t="str">
        <f>$B$11</f>
        <v>Oats</v>
      </c>
      <c r="BV33" s="205">
        <f>$AD$11</f>
        <v>0</v>
      </c>
      <c r="BW33" s="205">
        <f>$AE$11</f>
        <v>38.60590601227409</v>
      </c>
      <c r="BX33" s="205">
        <f>$AF$11</f>
        <v>30</v>
      </c>
      <c r="BY33" s="205">
        <f>$AG$11</f>
        <v>68.60590601227409</v>
      </c>
      <c r="CA33" s="56" t="str">
        <f>$B$11</f>
        <v>Oats</v>
      </c>
      <c r="CB33" s="205">
        <f>$AP$11</f>
        <v>1.030338273437815</v>
      </c>
      <c r="CC33" s="208">
        <f>$AQ$11</f>
        <v>3.0314054596918875E-2</v>
      </c>
      <c r="CD33" s="203">
        <f>$AR$11</f>
        <v>3.0338273437815092E-2</v>
      </c>
      <c r="CE33" s="208"/>
      <c r="CF33" s="56" t="str">
        <f>$B$11</f>
        <v>Oats</v>
      </c>
      <c r="CG33" s="205">
        <f>$AT$11</f>
        <v>2.5009142857142859</v>
      </c>
      <c r="CH33" s="205">
        <f>$AU$11</f>
        <v>0.65338958106927691</v>
      </c>
      <c r="CI33" s="205">
        <f>$AV$11</f>
        <v>9.5696133216437218E-2</v>
      </c>
      <c r="CJ33" s="205">
        <v>0</v>
      </c>
      <c r="CN33" s="56" t="str">
        <f>$B$11</f>
        <v>Oats</v>
      </c>
      <c r="CO33" s="205">
        <f>$AX$11</f>
        <v>74.728093987725913</v>
      </c>
      <c r="CP33" s="205">
        <f>$AY$11</f>
        <v>61.424999999999997</v>
      </c>
      <c r="CQ33" s="205">
        <f>$AZ$11</f>
        <v>13.303093987725916</v>
      </c>
      <c r="CR33" s="208">
        <f>$BA$11</f>
        <v>4.0564779675732084E-2</v>
      </c>
      <c r="CS33" s="205">
        <f>$BB$11</f>
        <v>75.075000000000003</v>
      </c>
      <c r="CT33" s="205">
        <f>$BC$11</f>
        <v>-0.3469060122740899</v>
      </c>
      <c r="CU33" s="208">
        <f>$BD$11</f>
        <v>-1.0155420209269257E-3</v>
      </c>
    </row>
    <row r="34" spans="22:105" x14ac:dyDescent="0.55000000000000004">
      <c r="V34" s="171">
        <v>6</v>
      </c>
      <c r="W34" s="56" t="str">
        <f>$B$12</f>
        <v>Corn</v>
      </c>
      <c r="X34" s="201">
        <f>$C$12</f>
        <v>337.88685009746649</v>
      </c>
      <c r="Y34" s="201">
        <f>$D$12</f>
        <v>156.98537812500001</v>
      </c>
      <c r="Z34" s="201">
        <f>$E$12</f>
        <v>30</v>
      </c>
      <c r="AA34" s="201">
        <f>$F$12</f>
        <v>524.87222822246645</v>
      </c>
      <c r="AC34" s="56" t="str">
        <f>$B$12</f>
        <v>Corn</v>
      </c>
      <c r="AD34" s="202">
        <f>$Q$12</f>
        <v>84.5</v>
      </c>
      <c r="AE34" s="202">
        <f>$R$12</f>
        <v>123.7</v>
      </c>
      <c r="AF34" s="202">
        <f>$S$12</f>
        <v>131.19999999999999</v>
      </c>
      <c r="AH34" s="56" t="str">
        <f>$B$12</f>
        <v>Corn</v>
      </c>
      <c r="AI34" s="202">
        <f>$S$12</f>
        <v>131.19999999999999</v>
      </c>
      <c r="AJ34" s="203">
        <f>$T$12</f>
        <v>1.0746951219512195</v>
      </c>
      <c r="AL34" s="56" t="str">
        <f>$B$12</f>
        <v>Corn</v>
      </c>
      <c r="AM34" s="202">
        <f>$H$12</f>
        <v>141</v>
      </c>
      <c r="AN34" s="204">
        <f>$I$12</f>
        <v>4</v>
      </c>
      <c r="AO34" s="204">
        <f>$J$12</f>
        <v>564</v>
      </c>
      <c r="AQ34" s="56" t="str">
        <f>$B$12</f>
        <v>Corn</v>
      </c>
      <c r="AR34" s="204">
        <f>$J$12</f>
        <v>564</v>
      </c>
      <c r="AS34" s="201">
        <f>$F$12</f>
        <v>524.87222822246645</v>
      </c>
      <c r="AT34" s="205">
        <f>$L$12</f>
        <v>226.11314990253351</v>
      </c>
      <c r="AU34" s="205">
        <f>$M$12</f>
        <v>69.127771777533496</v>
      </c>
      <c r="AV34" s="205">
        <f>$N$12</f>
        <v>39.127771777533553</v>
      </c>
      <c r="AX34" s="56" t="str">
        <f>$B$12</f>
        <v>Corn</v>
      </c>
      <c r="AY34" s="201">
        <f>$C$12</f>
        <v>337.88685009746649</v>
      </c>
      <c r="AZ34" s="206">
        <f>$W$12</f>
        <v>345.94560000000001</v>
      </c>
      <c r="BA34" s="201">
        <f>$X$12</f>
        <v>4.32</v>
      </c>
      <c r="BB34" s="207">
        <f>$Y$12</f>
        <v>1.0238504395782462</v>
      </c>
      <c r="BC34" s="207">
        <f>$Z$12</f>
        <v>0.65910440941327797</v>
      </c>
      <c r="BE34" s="56" t="str">
        <f>$B$12</f>
        <v>Corn</v>
      </c>
      <c r="BF34" s="202">
        <f>$H$12</f>
        <v>141</v>
      </c>
      <c r="BG34" s="204">
        <f>$AH$12</f>
        <v>2.3963606389891239</v>
      </c>
      <c r="BH34" s="204">
        <f>$AI$12</f>
        <v>3.5097321150529539</v>
      </c>
      <c r="BI34" s="204">
        <f>$I$12</f>
        <v>4</v>
      </c>
      <c r="BJ34" s="204">
        <f>$AJ$12</f>
        <v>3.7224980724997621</v>
      </c>
      <c r="BL34" s="56" t="str">
        <f>$B$12</f>
        <v>Corn</v>
      </c>
      <c r="BM34" s="201">
        <f>$AA$12</f>
        <v>28.31</v>
      </c>
      <c r="BN34" s="208">
        <f>$AB$12</f>
        <v>8.1833675583675575E-2</v>
      </c>
      <c r="BO34" s="207"/>
      <c r="BP34" s="56" t="str">
        <f>$B$12</f>
        <v>Corn</v>
      </c>
      <c r="BQ34" s="205">
        <f>$AL$12</f>
        <v>144.51314990253354</v>
      </c>
      <c r="BR34" s="205">
        <f>$AM$12</f>
        <v>-12.47222822246647</v>
      </c>
      <c r="BS34" s="205">
        <f>$AN$12</f>
        <v>-42.472228222466413</v>
      </c>
      <c r="BU34" s="56" t="str">
        <f>$B$12</f>
        <v>Corn</v>
      </c>
      <c r="BV34" s="205">
        <f>$AD$12</f>
        <v>0</v>
      </c>
      <c r="BW34" s="205">
        <f>$AE$12</f>
        <v>148.92662822246649</v>
      </c>
      <c r="BX34" s="205">
        <f>$AF$12</f>
        <v>29.999999999999943</v>
      </c>
      <c r="BY34" s="205">
        <f>$AG$12</f>
        <v>178.92662822246643</v>
      </c>
      <c r="CA34" s="56" t="str">
        <f>$B$12</f>
        <v>Corn</v>
      </c>
      <c r="CB34" s="205">
        <f>$AP$12</f>
        <v>1.0745472320188167</v>
      </c>
      <c r="CC34" s="208">
        <f>$AQ$12</f>
        <v>4.0536895326084163E-2</v>
      </c>
      <c r="CD34" s="203">
        <f>$AR$12</f>
        <v>7.4547232018816773E-2</v>
      </c>
      <c r="CE34" s="208"/>
      <c r="CF34" s="56" t="str">
        <f>$B$12</f>
        <v>Corn</v>
      </c>
      <c r="CG34" s="205">
        <f>$AT$12</f>
        <v>2.4535148936170215</v>
      </c>
      <c r="CH34" s="205">
        <f>$AU$12</f>
        <v>1.2689831788827406</v>
      </c>
      <c r="CI34" s="205">
        <f>$AV$12</f>
        <v>0.27750192750023794</v>
      </c>
      <c r="CJ34" s="205">
        <v>0</v>
      </c>
      <c r="CN34" s="56" t="str">
        <f>$B$12</f>
        <v>Corn</v>
      </c>
      <c r="CO34" s="205">
        <f>$AX$12</f>
        <v>103.8077717775335</v>
      </c>
      <c r="CP34" s="205">
        <f>$AY$12</f>
        <v>101.52</v>
      </c>
      <c r="CQ34" s="205">
        <f>$AZ$12</f>
        <v>2.2877717775335071</v>
      </c>
      <c r="CR34" s="208">
        <f>$BA$12</f>
        <v>4.0728537898723364E-3</v>
      </c>
      <c r="CS34" s="205">
        <f>$BB$12</f>
        <v>124.08</v>
      </c>
      <c r="CT34" s="205">
        <f>$BC$12</f>
        <v>-20.272228222466495</v>
      </c>
      <c r="CU34" s="208">
        <f>$BD$12</f>
        <v>-3.4696545964782145E-2</v>
      </c>
      <c r="CX34" s="55" t="s">
        <v>469</v>
      </c>
      <c r="CY34" s="55" t="s">
        <v>470</v>
      </c>
      <c r="CZ34" s="55" t="s">
        <v>472</v>
      </c>
      <c r="DA34" s="55" t="s">
        <v>473</v>
      </c>
    </row>
    <row r="35" spans="22:105" x14ac:dyDescent="0.55000000000000004">
      <c r="V35" s="171">
        <v>7</v>
      </c>
      <c r="W35" s="56" t="str">
        <f>$B$13</f>
        <v>Wheat - Northern Hard Red</v>
      </c>
      <c r="X35" s="201">
        <f>$C$13</f>
        <v>209.70506370384354</v>
      </c>
      <c r="Y35" s="201">
        <f>$D$13</f>
        <v>138.65366250000002</v>
      </c>
      <c r="Z35" s="201">
        <f>$E$13</f>
        <v>30</v>
      </c>
      <c r="AA35" s="201">
        <f>$F$13</f>
        <v>378.35872620384356</v>
      </c>
      <c r="AC35" s="56" t="str">
        <f>$B$13</f>
        <v>Wheat - Northern Hard Red</v>
      </c>
      <c r="AD35" s="202">
        <f>$Q$13</f>
        <v>35</v>
      </c>
      <c r="AE35" s="202">
        <f>$R$13</f>
        <v>58.1</v>
      </c>
      <c r="AF35" s="202">
        <f>$S$13</f>
        <v>63.1</v>
      </c>
      <c r="AH35" s="56" t="str">
        <f>$B$13</f>
        <v>Wheat - Northern Hard Red</v>
      </c>
      <c r="AI35" s="202">
        <f>$S$13</f>
        <v>63.1</v>
      </c>
      <c r="AJ35" s="203">
        <f>$T$13</f>
        <v>1.0776545166402536</v>
      </c>
      <c r="AL35" s="56" t="str">
        <f>$B$13</f>
        <v>Wheat - Northern Hard Red</v>
      </c>
      <c r="AM35" s="202">
        <f>$H$13</f>
        <v>68</v>
      </c>
      <c r="AN35" s="204">
        <f>$I$13</f>
        <v>6</v>
      </c>
      <c r="AO35" s="204">
        <f>$J$13</f>
        <v>408</v>
      </c>
      <c r="AQ35" s="56" t="str">
        <f>$B$13</f>
        <v>Wheat - Northern Hard Red</v>
      </c>
      <c r="AR35" s="204">
        <f>$J$13</f>
        <v>408</v>
      </c>
      <c r="AS35" s="201">
        <f>$F$13</f>
        <v>378.35872620384356</v>
      </c>
      <c r="AT35" s="205">
        <f>$L$13</f>
        <v>198.29493629615646</v>
      </c>
      <c r="AU35" s="205">
        <f>$M$13</f>
        <v>59.64127379615644</v>
      </c>
      <c r="AV35" s="205">
        <f>$N$13</f>
        <v>29.64127379615644</v>
      </c>
      <c r="AX35" s="56" t="str">
        <f>$B$13</f>
        <v>Wheat - Northern Hard Red</v>
      </c>
      <c r="AY35" s="201">
        <f>$C$13</f>
        <v>209.70506370384354</v>
      </c>
      <c r="AZ35" s="206">
        <f>$W$13</f>
        <v>276.33240000000001</v>
      </c>
      <c r="BA35" s="201">
        <f>$X$13</f>
        <v>5.31</v>
      </c>
      <c r="BB35" s="207">
        <f>$Y$13</f>
        <v>1.317719253504775</v>
      </c>
      <c r="BC35" s="207">
        <f>$Z$13</f>
        <v>0.7303449897204799</v>
      </c>
      <c r="BE35" s="56" t="str">
        <f>$B$13</f>
        <v>Wheat - Northern Hard Red</v>
      </c>
      <c r="BF35" s="202">
        <f>$H$13</f>
        <v>68</v>
      </c>
      <c r="BG35" s="204">
        <f>$AH$13</f>
        <v>3.0838979956447581</v>
      </c>
      <c r="BH35" s="204">
        <f>$AI$13</f>
        <v>5.1229224441741703</v>
      </c>
      <c r="BI35" s="204">
        <f>$I$13</f>
        <v>6</v>
      </c>
      <c r="BJ35" s="204">
        <f>$AJ$13</f>
        <v>5.5640989147624049</v>
      </c>
      <c r="BL35" s="56" t="str">
        <f>$B$13</f>
        <v>Wheat - Northern Hard Red</v>
      </c>
      <c r="BM35" s="201">
        <f>$AA$13</f>
        <v>10.815</v>
      </c>
      <c r="BN35" s="208">
        <f>$AB$13</f>
        <v>3.913764726828993E-2</v>
      </c>
      <c r="BO35" s="207"/>
      <c r="BP35" s="56" t="str">
        <f>$B$13</f>
        <v>Wheat - Northern Hard Red</v>
      </c>
      <c r="BQ35" s="205">
        <f>$AL$13</f>
        <v>141.29493629615646</v>
      </c>
      <c r="BR35" s="205">
        <f>$AM$13</f>
        <v>2.6412737961564403</v>
      </c>
      <c r="BS35" s="205">
        <f>$AN$13</f>
        <v>-27.35872620384356</v>
      </c>
      <c r="BU35" s="56" t="str">
        <f>$B$13</f>
        <v>Wheat - Northern Hard Red</v>
      </c>
      <c r="BV35" s="205">
        <f>$AD$13</f>
        <v>0</v>
      </c>
      <c r="BW35" s="205">
        <f>$AE$13</f>
        <v>72.026326203843553</v>
      </c>
      <c r="BX35" s="205">
        <f>$AF$13</f>
        <v>30</v>
      </c>
      <c r="BY35" s="205">
        <f>$AG$13</f>
        <v>102.02632620384355</v>
      </c>
      <c r="CA35" s="56" t="str">
        <f>$B$13</f>
        <v>Wheat - Northern Hard Red</v>
      </c>
      <c r="CB35" s="205">
        <f>$AP$13</f>
        <v>1.0783417210792356</v>
      </c>
      <c r="CC35" s="208">
        <f>$AQ$13</f>
        <v>3.4355567596030624E-2</v>
      </c>
      <c r="CD35" s="203">
        <f>$AR$13</f>
        <v>7.834172107923576E-2</v>
      </c>
      <c r="CE35" s="208"/>
      <c r="CF35" s="56" t="str">
        <f>$B$13</f>
        <v>Wheat - Northern Hard Red</v>
      </c>
      <c r="CG35" s="205">
        <f>$AT$13</f>
        <v>4.0637117647058822</v>
      </c>
      <c r="CH35" s="205">
        <f>$AU$13</f>
        <v>1.5003871500565227</v>
      </c>
      <c r="CI35" s="205">
        <f>$AV$13</f>
        <v>0.43590108523759508</v>
      </c>
      <c r="CJ35" s="205">
        <v>0</v>
      </c>
      <c r="CN35" s="56" t="str">
        <f>$B$13</f>
        <v>Wheat - Northern Hard Red</v>
      </c>
      <c r="CO35" s="205">
        <f>$AX$13</f>
        <v>94.321273796156504</v>
      </c>
      <c r="CP35" s="205">
        <f>$AY$13</f>
        <v>73.44</v>
      </c>
      <c r="CQ35" s="205">
        <f>$AZ$13</f>
        <v>20.881273796156506</v>
      </c>
      <c r="CR35" s="208">
        <f>$BA$13</f>
        <v>5.394023172405548E-2</v>
      </c>
      <c r="CS35" s="205">
        <f>$BB$13</f>
        <v>89.76</v>
      </c>
      <c r="CT35" s="205">
        <f>$BC$13</f>
        <v>4.5612737961564989</v>
      </c>
      <c r="CU35" s="208">
        <f>$BD$13</f>
        <v>1.1305988988900006E-2</v>
      </c>
      <c r="CW35" s="55" t="s">
        <v>412</v>
      </c>
      <c r="CX35" s="30">
        <v>81</v>
      </c>
      <c r="CY35" s="30">
        <v>25.670539071619032</v>
      </c>
      <c r="CZ35" s="30">
        <v>99</v>
      </c>
      <c r="DA35" s="30">
        <v>7.6705390716190323</v>
      </c>
    </row>
    <row r="36" spans="22:105" x14ac:dyDescent="0.55000000000000004">
      <c r="V36" s="171">
        <v>8</v>
      </c>
      <c r="W36" s="56" t="str">
        <f>$B$14</f>
        <v>Wheat - Winter</v>
      </c>
      <c r="X36" s="201">
        <f>$C$14</f>
        <v>186.46456904011822</v>
      </c>
      <c r="Y36" s="201">
        <f>$D$14</f>
        <v>138.51387187500004</v>
      </c>
      <c r="Z36" s="201">
        <f>$E$14</f>
        <v>30</v>
      </c>
      <c r="AA36" s="201">
        <f>$F$14</f>
        <v>354.97844091511826</v>
      </c>
      <c r="AC36" s="56" t="str">
        <f>$B$14</f>
        <v>Wheat - Winter</v>
      </c>
      <c r="AD36" s="202">
        <f>$Q$14</f>
        <v>38.4</v>
      </c>
      <c r="AE36" s="202">
        <f>$R$14</f>
        <v>67</v>
      </c>
      <c r="AF36" s="202">
        <f>$S$14</f>
        <v>73.2</v>
      </c>
      <c r="AH36" s="56" t="str">
        <f>$B$14</f>
        <v>Wheat - Winter</v>
      </c>
      <c r="AI36" s="202">
        <f>$S$14</f>
        <v>73.2</v>
      </c>
      <c r="AJ36" s="203">
        <f>$T$14</f>
        <v>0.91530054644808745</v>
      </c>
      <c r="AL36" s="56" t="str">
        <f>$B$14</f>
        <v>Wheat - Winter</v>
      </c>
      <c r="AM36" s="202">
        <f>$H$14</f>
        <v>67</v>
      </c>
      <c r="AN36" s="204">
        <f>$I$14</f>
        <v>4.8499999999999996</v>
      </c>
      <c r="AO36" s="204">
        <f>$J$14</f>
        <v>324.95</v>
      </c>
      <c r="AQ36" s="56" t="str">
        <f>$B$14</f>
        <v>Wheat - Winter</v>
      </c>
      <c r="AR36" s="204">
        <f>$J$14</f>
        <v>324.95</v>
      </c>
      <c r="AS36" s="201">
        <f>$F$14</f>
        <v>354.97844091511826</v>
      </c>
      <c r="AT36" s="205">
        <f>$L$14</f>
        <v>138.48543095988177</v>
      </c>
      <c r="AU36" s="205">
        <f>$M$14</f>
        <v>-2.8440915118267185E-2</v>
      </c>
      <c r="AV36" s="205">
        <f>$N$14</f>
        <v>-30.028440915118267</v>
      </c>
      <c r="AX36" s="56" t="str">
        <f>$B$14</f>
        <v>Wheat - Winter</v>
      </c>
      <c r="AY36" s="201">
        <f>$C$14</f>
        <v>186.46456904011822</v>
      </c>
      <c r="AZ36" s="206">
        <f>$W$14</f>
        <v>248.74600000000004</v>
      </c>
      <c r="BA36" s="201">
        <f>$X$14</f>
        <v>4.49</v>
      </c>
      <c r="BB36" s="207">
        <f>$Y$14</f>
        <v>1.3340121465460917</v>
      </c>
      <c r="BC36" s="207">
        <f>$Z$14</f>
        <v>0.70073551328566375</v>
      </c>
      <c r="BE36" s="56" t="str">
        <f>$B$14</f>
        <v>Wheat - Winter</v>
      </c>
      <c r="BF36" s="202">
        <f>$H$14</f>
        <v>67</v>
      </c>
      <c r="BG36" s="204">
        <f>$AH$14</f>
        <v>2.7830532692554959</v>
      </c>
      <c r="BH36" s="204">
        <f>$AI$14</f>
        <v>4.850424491270422</v>
      </c>
      <c r="BI36" s="204">
        <f>$I$14</f>
        <v>4.8499999999999996</v>
      </c>
      <c r="BJ36" s="204">
        <f>$AJ$14</f>
        <v>5.2981856853002727</v>
      </c>
      <c r="BL36" s="56" t="str">
        <f>$B$14</f>
        <v>Wheat - Winter</v>
      </c>
      <c r="BM36" s="201">
        <f>$AA$14</f>
        <v>6.49</v>
      </c>
      <c r="BN36" s="208">
        <f>$AB$14</f>
        <v>2.6090871813014074E-2</v>
      </c>
      <c r="BO36" s="207"/>
      <c r="BP36" s="56" t="str">
        <f>$B$14</f>
        <v>Wheat - Winter</v>
      </c>
      <c r="BQ36" s="205">
        <f>$AL$14</f>
        <v>92.895430959881793</v>
      </c>
      <c r="BR36" s="205">
        <f>$AM$14</f>
        <v>-45.618440915118242</v>
      </c>
      <c r="BS36" s="205">
        <f>$AN$14</f>
        <v>-75.618440915118242</v>
      </c>
      <c r="BU36" s="56" t="str">
        <f>$B$14</f>
        <v>Wheat - Winter</v>
      </c>
      <c r="BV36" s="205">
        <f>$AD$14</f>
        <v>0</v>
      </c>
      <c r="BW36" s="205">
        <f>$AE$14</f>
        <v>76.232440915118218</v>
      </c>
      <c r="BX36" s="205">
        <f>$AF$14</f>
        <v>30</v>
      </c>
      <c r="BY36" s="205">
        <f>$AG$14</f>
        <v>106.23244091511822</v>
      </c>
      <c r="CA36" s="56" t="str">
        <f>$B$14</f>
        <v>Wheat - Winter</v>
      </c>
      <c r="CB36" s="205">
        <f>$AP$14</f>
        <v>0.91540770521807935</v>
      </c>
      <c r="CC36" s="208">
        <f>$AQ$14</f>
        <v>1.7593753421860259E-2</v>
      </c>
      <c r="CD36" s="203">
        <f>$AR$14</f>
        <v>-8.4592294781920596E-2</v>
      </c>
      <c r="CE36" s="208"/>
      <c r="CF36" s="56" t="str">
        <f>$B$14</f>
        <v>Wheat - Winter</v>
      </c>
      <c r="CG36" s="205">
        <f>$AT$14</f>
        <v>3.7126268656716426</v>
      </c>
      <c r="CH36" s="205">
        <f>$AU$14</f>
        <v>1.5855588196286301</v>
      </c>
      <c r="CI36" s="205">
        <f>$AV$14</f>
        <v>-0.44818568530027303</v>
      </c>
      <c r="CJ36" s="205">
        <v>0</v>
      </c>
      <c r="CN36" s="56" t="str">
        <f>$B$14</f>
        <v>Wheat - Winter</v>
      </c>
      <c r="CO36" s="205">
        <f>$AX$14</f>
        <v>34.651559084881796</v>
      </c>
      <c r="CP36" s="205">
        <f>$AY$14</f>
        <v>58.490999999999993</v>
      </c>
      <c r="CQ36" s="205">
        <f>$AZ$14</f>
        <v>-23.839440915118196</v>
      </c>
      <c r="CR36" s="208">
        <f>$BA$14</f>
        <v>-6.8349090077299071E-2</v>
      </c>
      <c r="CS36" s="205">
        <f>$BB$14</f>
        <v>71.489000000000004</v>
      </c>
      <c r="CT36" s="205">
        <f>$BC$14</f>
        <v>-36.837440915118208</v>
      </c>
      <c r="CU36" s="208">
        <f>$BD$14</f>
        <v>-0.10182067354781653</v>
      </c>
      <c r="CW36" s="55" t="s">
        <v>413</v>
      </c>
      <c r="CX36" s="30">
        <v>75.599999999999994</v>
      </c>
      <c r="CY36" s="30">
        <v>38.787970671386717</v>
      </c>
      <c r="CZ36" s="30">
        <v>92.4</v>
      </c>
      <c r="DA36" s="30">
        <v>21.987970671386705</v>
      </c>
    </row>
    <row r="37" spans="22:105" x14ac:dyDescent="0.55000000000000004">
      <c r="V37" s="171">
        <v>9</v>
      </c>
      <c r="W37" s="56" t="str">
        <f>$B$15</f>
        <v>Flaxseed</v>
      </c>
      <c r="X37" s="201">
        <f>$C$15</f>
        <v>171.91365597176832</v>
      </c>
      <c r="Y37" s="201">
        <f>$D$15</f>
        <v>132.50287500000002</v>
      </c>
      <c r="Z37" s="201">
        <f>$E$15</f>
        <v>30</v>
      </c>
      <c r="AA37" s="201">
        <f>$F$15</f>
        <v>334.41653097176834</v>
      </c>
      <c r="AC37" s="56" t="str">
        <f>$B$15</f>
        <v>Flaxseed</v>
      </c>
      <c r="AD37" s="202">
        <f>$Q$15</f>
        <v>13.8</v>
      </c>
      <c r="AE37" s="202">
        <f>$R$15</f>
        <v>24.4</v>
      </c>
      <c r="AF37" s="202">
        <f>$S$15</f>
        <v>26.8</v>
      </c>
      <c r="AH37" s="56" t="str">
        <f>$B$15</f>
        <v>Flaxseed</v>
      </c>
      <c r="AI37" s="202">
        <f>$S$15</f>
        <v>26.8</v>
      </c>
      <c r="AJ37" s="203">
        <f>$T$15</f>
        <v>0.89552238805970152</v>
      </c>
      <c r="AL37" s="56" t="str">
        <f>$B$15</f>
        <v>Flaxseed</v>
      </c>
      <c r="AM37" s="202">
        <f>$H$15</f>
        <v>24</v>
      </c>
      <c r="AN37" s="204">
        <f>$I$15</f>
        <v>12.5</v>
      </c>
      <c r="AO37" s="204">
        <f>$J$15</f>
        <v>300</v>
      </c>
      <c r="AQ37" s="56" t="str">
        <f>$B$15</f>
        <v>Flaxseed</v>
      </c>
      <c r="AR37" s="204">
        <f>$J$15</f>
        <v>300</v>
      </c>
      <c r="AS37" s="201">
        <f>$F$15</f>
        <v>334.41653097176834</v>
      </c>
      <c r="AT37" s="205">
        <f>$L$15</f>
        <v>128.08634402823168</v>
      </c>
      <c r="AU37" s="205">
        <f>$M$15</f>
        <v>-4.4165309717683385</v>
      </c>
      <c r="AV37" s="205">
        <f>$N$15</f>
        <v>-34.416530971768339</v>
      </c>
      <c r="AX37" s="56" t="str">
        <f>$B$15</f>
        <v>Flaxseed</v>
      </c>
      <c r="AY37" s="201">
        <f>$C$15</f>
        <v>171.91365597176832</v>
      </c>
      <c r="AZ37" s="206">
        <f>$W$15</f>
        <v>213.79600000000002</v>
      </c>
      <c r="BA37" s="201">
        <f>$X$15</f>
        <v>11.3</v>
      </c>
      <c r="BB37" s="207">
        <f>$Y$15</f>
        <v>1.2436242996025262</v>
      </c>
      <c r="BC37" s="207">
        <f>$Z$15</f>
        <v>0.63931050112486465</v>
      </c>
      <c r="BE37" s="56" t="str">
        <f>$B$15</f>
        <v>Flaxseed</v>
      </c>
      <c r="BF37" s="202">
        <f>$H$15</f>
        <v>24</v>
      </c>
      <c r="BG37" s="204">
        <f>$AH$15</f>
        <v>7.1630689988236798</v>
      </c>
      <c r="BH37" s="204">
        <f>$AI$15</f>
        <v>12.684022123823681</v>
      </c>
      <c r="BI37" s="204">
        <f>$I$15</f>
        <v>12.5</v>
      </c>
      <c r="BJ37" s="204">
        <f>$AJ$15</f>
        <v>13.934022123823681</v>
      </c>
      <c r="BL37" s="56" t="str">
        <f>$B$15</f>
        <v>Flaxseed</v>
      </c>
      <c r="BM37" s="201">
        <f>$AA$15</f>
        <v>9.5749999999999993</v>
      </c>
      <c r="BN37" s="208">
        <f>$AB$15</f>
        <v>4.4785683548803523E-2</v>
      </c>
      <c r="BO37" s="207"/>
      <c r="BP37" s="56" t="str">
        <f>$B$15</f>
        <v>Flaxseed</v>
      </c>
      <c r="BQ37" s="205">
        <f>$AL$15</f>
        <v>86.836344028231679</v>
      </c>
      <c r="BR37" s="205">
        <f>$AM$15</f>
        <v>-45.666530971768339</v>
      </c>
      <c r="BS37" s="205">
        <f>$AN$15</f>
        <v>-75.666530971768339</v>
      </c>
      <c r="BU37" s="56" t="str">
        <f>$B$15</f>
        <v>Flaxseed</v>
      </c>
      <c r="BV37" s="205">
        <f>$AD$15</f>
        <v>0</v>
      </c>
      <c r="BW37" s="205">
        <f>$AE$15</f>
        <v>90.620530971768318</v>
      </c>
      <c r="BX37" s="205">
        <f>$AF$15</f>
        <v>30</v>
      </c>
      <c r="BY37" s="205">
        <f>$AG$15</f>
        <v>120.62053097176832</v>
      </c>
      <c r="CA37" s="56" t="str">
        <f>$B$15</f>
        <v>Flaxseed</v>
      </c>
      <c r="CB37" s="205">
        <f>$AP$15</f>
        <v>0.89708483946125916</v>
      </c>
      <c r="CC37" s="208">
        <f>$AQ$15</f>
        <v>1.4679374482436993E-2</v>
      </c>
      <c r="CD37" s="203">
        <f>$AR$15</f>
        <v>-0.10291516053874085</v>
      </c>
      <c r="CE37" s="208"/>
      <c r="CF37" s="56" t="str">
        <f>$B$15</f>
        <v>Flaxseed</v>
      </c>
      <c r="CG37" s="205">
        <f>$AT$15</f>
        <v>8.9081666666666681</v>
      </c>
      <c r="CH37" s="205">
        <f>$AU$15</f>
        <v>5.0258554571570127</v>
      </c>
      <c r="CI37" s="205">
        <f>$AV$15</f>
        <v>-1.4340221238236808</v>
      </c>
      <c r="CJ37" s="205">
        <v>0</v>
      </c>
      <c r="CN37" s="56" t="str">
        <f>$B$15</f>
        <v>Flaxseed</v>
      </c>
      <c r="CO37" s="205">
        <f>$AX$15</f>
        <v>30.263469028231668</v>
      </c>
      <c r="CP37" s="205">
        <f>$AY$15</f>
        <v>54</v>
      </c>
      <c r="CQ37" s="205">
        <f>$AZ$15</f>
        <v>-23.736530971768332</v>
      </c>
      <c r="CR37" s="208">
        <f>$BA$15</f>
        <v>-7.3320520549589416E-2</v>
      </c>
      <c r="CS37" s="205">
        <f>$BB$15</f>
        <v>66</v>
      </c>
      <c r="CT37" s="205">
        <f>$BC$15</f>
        <v>-35.736530971768332</v>
      </c>
      <c r="CU37" s="208">
        <f>$BD$15</f>
        <v>-0.10644218807030377</v>
      </c>
      <c r="CW37" s="55" t="s">
        <v>478</v>
      </c>
      <c r="CX37" s="30">
        <v>67.814999999999998</v>
      </c>
      <c r="CY37" s="30">
        <v>8.8722823433440112</v>
      </c>
      <c r="CZ37" s="30">
        <v>82.885000000000005</v>
      </c>
      <c r="DA37" s="30">
        <v>-6.1977176566559962</v>
      </c>
    </row>
    <row r="38" spans="22:105" x14ac:dyDescent="0.55000000000000004">
      <c r="V38" s="171">
        <v>10</v>
      </c>
      <c r="W38" s="56" t="str">
        <f>$B$16</f>
        <v>Fall Rye</v>
      </c>
      <c r="X38" s="201">
        <f>$C$16</f>
        <v>126.06833751856932</v>
      </c>
      <c r="Y38" s="201">
        <f>$D$16</f>
        <v>137.25575625000002</v>
      </c>
      <c r="Z38" s="201">
        <f>$E$16</f>
        <v>30</v>
      </c>
      <c r="AA38" s="201">
        <f>$F$16</f>
        <v>293.32409376856936</v>
      </c>
      <c r="AC38" s="56" t="str">
        <f>$B$16</f>
        <v>Fall Rye</v>
      </c>
      <c r="AD38" s="202">
        <f>$Q$16</f>
        <v>28</v>
      </c>
      <c r="AE38" s="202">
        <f>$R$16</f>
        <v>58.5</v>
      </c>
      <c r="AF38" s="202">
        <f>$S$16</f>
        <v>65.2</v>
      </c>
      <c r="AH38" s="56" t="str">
        <f>$B$16</f>
        <v>Fall Rye</v>
      </c>
      <c r="AI38" s="202">
        <f>$S$16</f>
        <v>65.2</v>
      </c>
      <c r="AJ38" s="203">
        <f>$T$16</f>
        <v>0.88957055214723924</v>
      </c>
      <c r="AL38" s="56" t="str">
        <f>$B$16</f>
        <v>Fall Rye</v>
      </c>
      <c r="AM38" s="202">
        <f>$H$16</f>
        <v>58</v>
      </c>
      <c r="AN38" s="204">
        <f>$I$16</f>
        <v>4.5</v>
      </c>
      <c r="AO38" s="204">
        <f>$J$16</f>
        <v>261</v>
      </c>
      <c r="AQ38" s="56" t="str">
        <f>$B$16</f>
        <v>Fall Rye</v>
      </c>
      <c r="AR38" s="204">
        <f>$J$16</f>
        <v>261</v>
      </c>
      <c r="AS38" s="201">
        <f>$F$16</f>
        <v>293.32409376856936</v>
      </c>
      <c r="AT38" s="205">
        <f>$L$16</f>
        <v>134.93166248143069</v>
      </c>
      <c r="AU38" s="205">
        <f>$M$16</f>
        <v>-2.3240937685693552</v>
      </c>
      <c r="AV38" s="205">
        <f>$N$16</f>
        <v>-32.324093768569355</v>
      </c>
      <c r="AX38" s="56" t="str">
        <f>$B$16</f>
        <v>Fall Rye</v>
      </c>
      <c r="AY38" s="201">
        <f>$C$16</f>
        <v>126.06833751856932</v>
      </c>
      <c r="AZ38" s="206">
        <f>$W$16</f>
        <v>166.92960000000002</v>
      </c>
      <c r="BA38" s="201">
        <f>$X$16</f>
        <v>4.1900000000000004</v>
      </c>
      <c r="BB38" s="207">
        <f>$Y$16</f>
        <v>1.3241199438789459</v>
      </c>
      <c r="BC38" s="207">
        <f>$Z$16</f>
        <v>0.56909610750116657</v>
      </c>
      <c r="BE38" s="56" t="str">
        <f>$B$16</f>
        <v>Fall Rye</v>
      </c>
      <c r="BF38" s="202">
        <f>$H$16</f>
        <v>58</v>
      </c>
      <c r="BG38" s="204">
        <f>$AH$16</f>
        <v>2.1735920261822299</v>
      </c>
      <c r="BH38" s="204">
        <f>$AI$16</f>
        <v>4.5400705822167131</v>
      </c>
      <c r="BI38" s="204">
        <f>$I$16</f>
        <v>4.5</v>
      </c>
      <c r="BJ38" s="204">
        <f>$AJ$16</f>
        <v>5.0573119615270574</v>
      </c>
      <c r="BL38" s="56" t="str">
        <f>$B$16</f>
        <v>Fall Rye</v>
      </c>
      <c r="BM38" s="201">
        <f>$AA$16</f>
        <v>7.4150000000000009</v>
      </c>
      <c r="BN38" s="208">
        <f>$AB$16</f>
        <v>4.441992312927126E-2</v>
      </c>
      <c r="BO38" s="207"/>
      <c r="BP38" s="56" t="str">
        <f>$B$16</f>
        <v>Fall Rye</v>
      </c>
      <c r="BQ38" s="205">
        <f>$AL$16</f>
        <v>96.681662481430678</v>
      </c>
      <c r="BR38" s="205">
        <f>$AM$16</f>
        <v>-40.574093768569355</v>
      </c>
      <c r="BS38" s="205">
        <f>$AN$16</f>
        <v>-70.574093768569355</v>
      </c>
      <c r="BU38" s="56" t="str">
        <f>$B$16</f>
        <v>Fall Rye</v>
      </c>
      <c r="BV38" s="205">
        <f>$AD$16</f>
        <v>0</v>
      </c>
      <c r="BW38" s="205">
        <f>$AE$16</f>
        <v>96.394493768569333</v>
      </c>
      <c r="BX38" s="205">
        <f>$AF$16</f>
        <v>30</v>
      </c>
      <c r="BY38" s="205">
        <f>$AG$16</f>
        <v>126.39449376856933</v>
      </c>
      <c r="CA38" s="56" t="str">
        <f>$B$16</f>
        <v>Fall Rye</v>
      </c>
      <c r="CB38" s="205">
        <f>$AP$16</f>
        <v>0.88980075467624953</v>
      </c>
      <c r="CC38" s="208">
        <f>$AQ$16</f>
        <v>1.6597797904105906E-2</v>
      </c>
      <c r="CD38" s="203">
        <f>$AR$16</f>
        <v>-0.11019924532375044</v>
      </c>
      <c r="CE38" s="208"/>
      <c r="CF38" s="56" t="str">
        <f>$B$16</f>
        <v>Fall Rye</v>
      </c>
      <c r="CG38" s="205">
        <f>$AT$16</f>
        <v>2.8780965517241381</v>
      </c>
      <c r="CH38" s="205">
        <f>$AU$16</f>
        <v>2.1792154098029193</v>
      </c>
      <c r="CI38" s="205">
        <f>$AV$16</f>
        <v>-0.55731196152705742</v>
      </c>
      <c r="CJ38" s="205">
        <v>0</v>
      </c>
      <c r="CN38" s="56" t="str">
        <f>$B$16</f>
        <v>Fall Rye</v>
      </c>
      <c r="CO38" s="205">
        <f>$AX$16</f>
        <v>32.35590623143068</v>
      </c>
      <c r="CP38" s="205">
        <f>$AY$16</f>
        <v>46.98</v>
      </c>
      <c r="CQ38" s="205">
        <f>$AZ$16</f>
        <v>-14.624093768569317</v>
      </c>
      <c r="CR38" s="208">
        <f>$BA$16</f>
        <v>-5.3058111025840113E-2</v>
      </c>
      <c r="CS38" s="205">
        <f>$BB$16</f>
        <v>57.42</v>
      </c>
      <c r="CT38" s="205">
        <f>$BC$16</f>
        <v>-25.064093768569322</v>
      </c>
      <c r="CU38" s="208">
        <f>$BD$16</f>
        <v>-8.7617056158213968E-2</v>
      </c>
    </row>
    <row r="39" spans="22:105" x14ac:dyDescent="0.55000000000000004">
      <c r="V39" s="171">
        <v>11</v>
      </c>
      <c r="W39" s="56" t="str">
        <f>$B$17</f>
        <v>Peas</v>
      </c>
      <c r="X39" s="201">
        <f>$C$17</f>
        <v>151.23989287803889</v>
      </c>
      <c r="Y39" s="201">
        <f>$D$17</f>
        <v>134.73952500000001</v>
      </c>
      <c r="Z39" s="201">
        <f>$E$17</f>
        <v>30</v>
      </c>
      <c r="AA39" s="201">
        <f>$F$17</f>
        <v>315.97941787803893</v>
      </c>
      <c r="AC39" s="56" t="str">
        <f>$B$17</f>
        <v>Peas</v>
      </c>
      <c r="AD39" s="202">
        <f>$Q$17</f>
        <v>20.2</v>
      </c>
      <c r="AE39" s="202">
        <f>$R$17</f>
        <v>38.1</v>
      </c>
      <c r="AF39" s="202">
        <f>$S$17</f>
        <v>42.1</v>
      </c>
      <c r="AH39" s="56" t="str">
        <f>$B$17</f>
        <v>Peas</v>
      </c>
      <c r="AI39" s="202">
        <f>$S$17</f>
        <v>42.1</v>
      </c>
      <c r="AJ39" s="203">
        <f>$T$17</f>
        <v>0.95011876484560565</v>
      </c>
      <c r="AL39" s="56" t="str">
        <f>$B$17</f>
        <v>Peas</v>
      </c>
      <c r="AM39" s="202">
        <f>$H$17</f>
        <v>40</v>
      </c>
      <c r="AN39" s="204">
        <f>$I$17</f>
        <v>7.5</v>
      </c>
      <c r="AO39" s="204">
        <f>$J$17</f>
        <v>300</v>
      </c>
      <c r="AQ39" s="56" t="str">
        <f>$B$17</f>
        <v>Peas</v>
      </c>
      <c r="AR39" s="204">
        <f>$J$17</f>
        <v>300</v>
      </c>
      <c r="AS39" s="201">
        <f>$F$17</f>
        <v>315.97941787803893</v>
      </c>
      <c r="AT39" s="205">
        <f>$L$17</f>
        <v>148.76010712196111</v>
      </c>
      <c r="AU39" s="205">
        <f>$M$17</f>
        <v>14.02058212196107</v>
      </c>
      <c r="AV39" s="205">
        <f>$N$17</f>
        <v>-15.97941787803893</v>
      </c>
      <c r="AX39" s="56" t="str">
        <f>$B$17</f>
        <v>Peas</v>
      </c>
      <c r="AY39" s="201">
        <f>$C$17</f>
        <v>151.23989287803889</v>
      </c>
      <c r="AZ39" s="206">
        <f>$W$17</f>
        <v>174.51520000000005</v>
      </c>
      <c r="BA39" s="201">
        <f>$X$17</f>
        <v>5.44</v>
      </c>
      <c r="BB39" s="207">
        <f>$Y$17</f>
        <v>1.1538966120581067</v>
      </c>
      <c r="BC39" s="207">
        <f>$Z$17</f>
        <v>0.55229926421144004</v>
      </c>
      <c r="BE39" s="56" t="str">
        <f>$B$17</f>
        <v>Peas</v>
      </c>
      <c r="BF39" s="202">
        <f>$H$17</f>
        <v>40</v>
      </c>
      <c r="BG39" s="204">
        <f>$AH$17</f>
        <v>3.7809973219509723</v>
      </c>
      <c r="BH39" s="204">
        <f>$AI$17</f>
        <v>7.1494854469509734</v>
      </c>
      <c r="BI39" s="204">
        <f>$I$17</f>
        <v>7.5</v>
      </c>
      <c r="BJ39" s="204">
        <f>$AJ$17</f>
        <v>7.8994854469509734</v>
      </c>
      <c r="BL39" s="56" t="str">
        <f>$B$17</f>
        <v>Peas</v>
      </c>
      <c r="BM39" s="201">
        <f>$AA$17</f>
        <v>8.8974999999999991</v>
      </c>
      <c r="BN39" s="208">
        <f>$AB$17</f>
        <v>5.0984097660261095E-2</v>
      </c>
      <c r="BO39" s="207"/>
      <c r="BP39" s="56" t="str">
        <f>$B$17</f>
        <v>Peas</v>
      </c>
      <c r="BQ39" s="205">
        <f>$AL$17</f>
        <v>105.26010712196111</v>
      </c>
      <c r="BR39" s="205">
        <f>$AM$17</f>
        <v>-29.47941787803893</v>
      </c>
      <c r="BS39" s="205">
        <f>$AN$17</f>
        <v>-59.47941787803893</v>
      </c>
      <c r="BU39" s="56" t="str">
        <f>$B$17</f>
        <v>Peas</v>
      </c>
      <c r="BV39" s="205">
        <f>$AD$17</f>
        <v>0</v>
      </c>
      <c r="BW39" s="205">
        <f>$AE$17</f>
        <v>111.46421787803888</v>
      </c>
      <c r="BX39" s="205">
        <f>$AF$17</f>
        <v>30</v>
      </c>
      <c r="BY39" s="205">
        <f>$AG$17</f>
        <v>141.46421787803888</v>
      </c>
      <c r="CA39" s="56" t="str">
        <f>$B$17</f>
        <v>Peas</v>
      </c>
      <c r="CB39" s="205">
        <f>$AP$17</f>
        <v>0.94942892804427337</v>
      </c>
      <c r="CC39" s="208">
        <f>$AQ$17</f>
        <v>2.0473265826456227E-2</v>
      </c>
      <c r="CD39" s="203">
        <f>$AR$17</f>
        <v>-5.057107195572666E-2</v>
      </c>
      <c r="CE39" s="208"/>
      <c r="CF39" s="56" t="str">
        <f>$B$17</f>
        <v>Peas</v>
      </c>
      <c r="CG39" s="205">
        <f>$AT$17</f>
        <v>4.3628800000000014</v>
      </c>
      <c r="CH39" s="205">
        <f>$AU$17</f>
        <v>3.536605446950972</v>
      </c>
      <c r="CI39" s="205">
        <f>$AV$17</f>
        <v>-0.39948544695097343</v>
      </c>
      <c r="CJ39" s="205">
        <v>0</v>
      </c>
      <c r="CN39" s="56" t="str">
        <f>$B$17</f>
        <v>Peas</v>
      </c>
      <c r="CO39" s="205">
        <f>$AX$17</f>
        <v>48.700582121961105</v>
      </c>
      <c r="CP39" s="205">
        <f>$AY$17</f>
        <v>54</v>
      </c>
      <c r="CQ39" s="205">
        <f>$AZ$17</f>
        <v>-5.299417878038895</v>
      </c>
      <c r="CR39" s="208">
        <f>$BA$17</f>
        <v>-1.735810017219197E-2</v>
      </c>
      <c r="CS39" s="205">
        <f>$BB$17</f>
        <v>66</v>
      </c>
      <c r="CT39" s="205">
        <f>$BC$17</f>
        <v>-17.299417878038895</v>
      </c>
      <c r="CU39" s="208">
        <f>$BD$17</f>
        <v>-5.4520799293392694E-2</v>
      </c>
      <c r="CY39" s="55" t="s">
        <v>479</v>
      </c>
      <c r="CZ39" s="55" t="s">
        <v>480</v>
      </c>
    </row>
    <row r="40" spans="22:105" x14ac:dyDescent="0.55000000000000004">
      <c r="V40" s="171">
        <v>12</v>
      </c>
      <c r="W40" s="56" t="str">
        <f>$B$18</f>
        <v>Sunflower Confection</v>
      </c>
      <c r="X40" s="201">
        <f>$C$18</f>
        <v>304.97952186665566</v>
      </c>
      <c r="Y40" s="201">
        <f>$D$18</f>
        <v>147.33982499999999</v>
      </c>
      <c r="Z40" s="201">
        <f>$E$18</f>
        <v>30</v>
      </c>
      <c r="AA40" s="201">
        <f>$F$18</f>
        <v>482.31934686665568</v>
      </c>
      <c r="AC40" s="56" t="str">
        <f>$B$18</f>
        <v>Sunflower Confection</v>
      </c>
      <c r="AD40" s="202">
        <f>$Q$18</f>
        <v>1089.2</v>
      </c>
      <c r="AE40" s="202">
        <f>$R$18</f>
        <v>1615.4</v>
      </c>
      <c r="AF40" s="202">
        <f>$S$18</f>
        <v>1722.6</v>
      </c>
      <c r="AH40" s="56" t="str">
        <f>$B$18</f>
        <v>Sunflower Confection</v>
      </c>
      <c r="AI40" s="202">
        <f>$S$18</f>
        <v>1722.6</v>
      </c>
      <c r="AJ40" s="203">
        <f>$T$18</f>
        <v>1.044932079414838</v>
      </c>
      <c r="AL40" s="56" t="str">
        <f>$B$18</f>
        <v>Sunflower Confection</v>
      </c>
      <c r="AM40" s="202">
        <f>$H$18</f>
        <v>1800</v>
      </c>
      <c r="AN40" s="204">
        <f>$I$18</f>
        <v>0.28000000000000003</v>
      </c>
      <c r="AO40" s="204">
        <f>$J$18</f>
        <v>504.00000000000006</v>
      </c>
      <c r="AQ40" s="56" t="str">
        <f>$B$18</f>
        <v>Sunflower Confection</v>
      </c>
      <c r="AR40" s="204">
        <f>$J$18</f>
        <v>504.00000000000006</v>
      </c>
      <c r="AS40" s="201">
        <f>$F$18</f>
        <v>482.31934686665568</v>
      </c>
      <c r="AT40" s="205">
        <f>$L$18</f>
        <v>199.0204781333444</v>
      </c>
      <c r="AU40" s="205">
        <f>$M$18</f>
        <v>51.680653133344379</v>
      </c>
      <c r="AV40" s="205">
        <f>$N$18</f>
        <v>21.680653133344379</v>
      </c>
      <c r="AX40" s="56" t="str">
        <f>$B$18</f>
        <v>Sunflower Confection</v>
      </c>
      <c r="AY40" s="201">
        <f>$C$18</f>
        <v>304.97952186665566</v>
      </c>
      <c r="AZ40" s="206">
        <f>$W$18</f>
        <v>376.76800000000003</v>
      </c>
      <c r="BA40" s="201">
        <f>$X$18</f>
        <v>0.28000000000000003</v>
      </c>
      <c r="BB40" s="207">
        <f>$Y$18</f>
        <v>1.2353878637291982</v>
      </c>
      <c r="BC40" s="207">
        <f>$Z$18</f>
        <v>0.7811587954073157</v>
      </c>
      <c r="BE40" s="56" t="str">
        <f>$B$18</f>
        <v>Sunflower Confection</v>
      </c>
      <c r="BF40" s="202">
        <f>$H$18</f>
        <v>1800</v>
      </c>
      <c r="BG40" s="204">
        <f>$AH$18</f>
        <v>0.16943306770369759</v>
      </c>
      <c r="BH40" s="204">
        <f>$AI$18</f>
        <v>0.25128852603703095</v>
      </c>
      <c r="BI40" s="204">
        <f>$I$18</f>
        <v>0.28000000000000003</v>
      </c>
      <c r="BJ40" s="204">
        <f>$AJ$18</f>
        <v>0.26795519270369761</v>
      </c>
      <c r="BL40" s="56" t="str">
        <f>$B$18</f>
        <v>Sunflower Confection</v>
      </c>
      <c r="BM40" s="201">
        <f>$AA$18</f>
        <v>29.169999999999998</v>
      </c>
      <c r="BN40" s="208">
        <f>$AB$18</f>
        <v>7.7421649396976377E-2</v>
      </c>
      <c r="BO40" s="207"/>
      <c r="BP40" s="56" t="str">
        <f>$B$18</f>
        <v>Sunflower Confection</v>
      </c>
      <c r="BQ40" s="205">
        <f>$AL$18</f>
        <v>125.94047813334441</v>
      </c>
      <c r="BR40" s="205">
        <f>$AM$18</f>
        <v>-21.399346866655605</v>
      </c>
      <c r="BS40" s="205">
        <f>$AN$18</f>
        <v>-51.399346866655605</v>
      </c>
      <c r="BU40" s="56" t="str">
        <f>$B$18</f>
        <v>Sunflower Confection</v>
      </c>
      <c r="BV40" s="205">
        <f>$AD$18</f>
        <v>0</v>
      </c>
      <c r="BW40" s="205">
        <f>$AE$18</f>
        <v>75.551346866655649</v>
      </c>
      <c r="BX40" s="205">
        <f>$AF$18</f>
        <v>30</v>
      </c>
      <c r="BY40" s="205">
        <f>$AG$18</f>
        <v>105.55134686665565</v>
      </c>
      <c r="CA40" s="56" t="str">
        <f>$B$18</f>
        <v>Sunflower Confection</v>
      </c>
      <c r="CB40" s="205">
        <f>$AP$18</f>
        <v>1.0449508261988469</v>
      </c>
      <c r="CC40" s="208">
        <f>$AQ$18</f>
        <v>3.2944083328665545E-2</v>
      </c>
      <c r="CD40" s="203">
        <f>$AR$18</f>
        <v>4.4950826198846876E-2</v>
      </c>
      <c r="CE40" s="208"/>
      <c r="CF40" s="56" t="str">
        <f>$B$18</f>
        <v>Sunflower Confection</v>
      </c>
      <c r="CG40" s="205">
        <f>$AT$18</f>
        <v>0.20931555555555556</v>
      </c>
      <c r="CH40" s="205">
        <f>$AU$18</f>
        <v>5.8639637148142049E-2</v>
      </c>
      <c r="CI40" s="205">
        <f>$AV$18</f>
        <v>1.2044807296302418E-2</v>
      </c>
      <c r="CJ40" s="205">
        <v>0</v>
      </c>
      <c r="CN40" s="56" t="str">
        <f>$B$18</f>
        <v>Sunflower Confection</v>
      </c>
      <c r="CO40" s="205">
        <f>$AX$18</f>
        <v>86.360653133344385</v>
      </c>
      <c r="CP40" s="205">
        <f>$AY$18</f>
        <v>90.720000000000013</v>
      </c>
      <c r="CQ40" s="205">
        <f>$AZ$18</f>
        <v>-4.3593468666556277</v>
      </c>
      <c r="CR40" s="208">
        <f>$BA$18</f>
        <v>-8.5753254927347644E-3</v>
      </c>
      <c r="CS40" s="205">
        <f>$BB$18</f>
        <v>110.88000000000001</v>
      </c>
      <c r="CT40" s="205">
        <f>$BC$18</f>
        <v>-24.519346866655624</v>
      </c>
      <c r="CU40" s="208">
        <f>$BD$18</f>
        <v>-4.6392524724060483E-2</v>
      </c>
      <c r="CW40" s="55" t="s">
        <v>412</v>
      </c>
      <c r="CX40" s="210">
        <v>0.18</v>
      </c>
      <c r="CY40" s="30">
        <v>81</v>
      </c>
      <c r="CZ40" s="30">
        <v>25.670539071619032</v>
      </c>
    </row>
    <row r="41" spans="22:105" x14ac:dyDescent="0.55000000000000004">
      <c r="V41" s="171">
        <v>13</v>
      </c>
      <c r="W41" s="56" t="str">
        <f>$B$19</f>
        <v>Beans - Pinto</v>
      </c>
      <c r="X41" s="201">
        <f>$C$19</f>
        <v>311.40025565043203</v>
      </c>
      <c r="Y41" s="201">
        <f>$D$19</f>
        <v>138.06661875</v>
      </c>
      <c r="Z41" s="201">
        <f>$E$19</f>
        <v>30</v>
      </c>
      <c r="AA41" s="201">
        <f>$F$19</f>
        <v>479.46687440043206</v>
      </c>
      <c r="AC41" s="56" t="str">
        <f>$B$19</f>
        <v>Beans - Pinto</v>
      </c>
      <c r="AD41" s="202">
        <f>$Q$19</f>
        <v>1004.5</v>
      </c>
      <c r="AE41" s="202">
        <f>$R$19</f>
        <v>1449.9</v>
      </c>
      <c r="AF41" s="202">
        <f>$S$19</f>
        <v>1546.7</v>
      </c>
      <c r="AH41" s="56" t="str">
        <f>$B$19</f>
        <v>Beans - Pinto</v>
      </c>
      <c r="AI41" s="202">
        <f>$S$19</f>
        <v>1546.7</v>
      </c>
      <c r="AJ41" s="203">
        <f>$T$19</f>
        <v>1.1637680222408999</v>
      </c>
      <c r="AL41" s="56" t="str">
        <f>$B$19</f>
        <v>Beans - Pinto</v>
      </c>
      <c r="AM41" s="202">
        <f>$H$19</f>
        <v>1800</v>
      </c>
      <c r="AN41" s="204">
        <f>$I$19</f>
        <v>0.31</v>
      </c>
      <c r="AO41" s="204">
        <f>$J$19</f>
        <v>558</v>
      </c>
      <c r="AQ41" s="56" t="str">
        <f>$B$19</f>
        <v>Beans - Pinto</v>
      </c>
      <c r="AR41" s="204">
        <f>$J$19</f>
        <v>558</v>
      </c>
      <c r="AS41" s="201">
        <f>$F$19</f>
        <v>479.46687440043206</v>
      </c>
      <c r="AT41" s="205">
        <f>$L$19</f>
        <v>246.59974434956797</v>
      </c>
      <c r="AU41" s="205">
        <f>$M$19</f>
        <v>108.53312559956794</v>
      </c>
      <c r="AV41" s="205">
        <f>$N$19</f>
        <v>78.533125599567938</v>
      </c>
      <c r="AX41" s="56" t="str">
        <f>$B$19</f>
        <v>Beans - Pinto</v>
      </c>
      <c r="AY41" s="201">
        <f>$C$19</f>
        <v>311.40025565043203</v>
      </c>
      <c r="AZ41" s="206">
        <f>$W$19</f>
        <v>441.00600000000009</v>
      </c>
      <c r="BA41" s="201">
        <f>$X$19</f>
        <v>0.31</v>
      </c>
      <c r="BB41" s="207">
        <f>$Y$19</f>
        <v>1.4162030762590616</v>
      </c>
      <c r="BC41" s="207">
        <f>$Z$19</f>
        <v>0.91978408425289682</v>
      </c>
      <c r="BE41" s="56" t="str">
        <f>$B$19</f>
        <v>Beans - Pinto</v>
      </c>
      <c r="BF41" s="202">
        <f>$H$19</f>
        <v>1800</v>
      </c>
      <c r="BG41" s="204">
        <f>$AH$19</f>
        <v>0.17300014202801781</v>
      </c>
      <c r="BH41" s="204">
        <f>$AI$19</f>
        <v>0.24970381911135114</v>
      </c>
      <c r="BI41" s="204">
        <f>$I$19</f>
        <v>0.31</v>
      </c>
      <c r="BJ41" s="204">
        <f>$AJ$19</f>
        <v>0.26637048577801781</v>
      </c>
      <c r="BL41" s="56" t="str">
        <f>$B$19</f>
        <v>Beans - Pinto</v>
      </c>
      <c r="BM41" s="201">
        <f>$AA$19</f>
        <v>24.952500000000001</v>
      </c>
      <c r="BN41" s="208">
        <f>$AB$19</f>
        <v>5.6580862845403451E-2</v>
      </c>
      <c r="BO41" s="207"/>
      <c r="BP41" s="56" t="str">
        <f>$B$19</f>
        <v>Beans - Pinto</v>
      </c>
      <c r="BQ41" s="205">
        <f>$AL$19</f>
        <v>165.689744349568</v>
      </c>
      <c r="BR41" s="205">
        <f>$AM$19</f>
        <v>27.62312559956797</v>
      </c>
      <c r="BS41" s="205">
        <f>$AN$19</f>
        <v>-2.3768744004320297</v>
      </c>
      <c r="BU41" s="56" t="str">
        <f>$B$19</f>
        <v>Beans - Pinto</v>
      </c>
      <c r="BV41" s="205">
        <f>$AD$19</f>
        <v>0</v>
      </c>
      <c r="BW41" s="205">
        <f>$AE$19</f>
        <v>8.460874400431976</v>
      </c>
      <c r="BX41" s="205">
        <f>$AF$19</f>
        <v>30</v>
      </c>
      <c r="BY41" s="205">
        <f>$AG$19</f>
        <v>38.460874400431976</v>
      </c>
      <c r="CA41" s="56" t="str">
        <f>$B$19</f>
        <v>Beans - Pinto</v>
      </c>
      <c r="CB41" s="205">
        <f>$AP$19</f>
        <v>1.1637925992234035</v>
      </c>
      <c r="CC41" s="208">
        <f>$AQ$19</f>
        <v>4.6954303107888562E-2</v>
      </c>
      <c r="CD41" s="203">
        <f>$AR$19</f>
        <v>0.16379259922340356</v>
      </c>
      <c r="CE41" s="208"/>
      <c r="CF41" s="56" t="str">
        <f>$B$19</f>
        <v>Beans - Pinto</v>
      </c>
      <c r="CG41" s="205">
        <f>$AT$19</f>
        <v>0.24500333333333338</v>
      </c>
      <c r="CH41" s="205">
        <f>$AU$19</f>
        <v>2.1367152444684429E-2</v>
      </c>
      <c r="CI41" s="205">
        <f>$AV$19</f>
        <v>4.3629514221982191E-2</v>
      </c>
      <c r="CJ41" s="205">
        <v>0</v>
      </c>
      <c r="CN41" s="56" t="str">
        <f>$B$19</f>
        <v>Beans - Pinto</v>
      </c>
      <c r="CO41" s="205">
        <f>$AX$19</f>
        <v>143.213125599568</v>
      </c>
      <c r="CP41" s="205">
        <f>$AY$19</f>
        <v>100.44</v>
      </c>
      <c r="CQ41" s="205">
        <f>$AZ$19</f>
        <v>42.773125599568004</v>
      </c>
      <c r="CR41" s="208">
        <f>$BA$19</f>
        <v>8.3018040643440733E-2</v>
      </c>
      <c r="CS41" s="205">
        <f>$BB$19</f>
        <v>122.76</v>
      </c>
      <c r="CT41" s="205">
        <f>$BC$19</f>
        <v>20.453125599567997</v>
      </c>
      <c r="CU41" s="208">
        <f>$BD$19</f>
        <v>3.804900851182693E-2</v>
      </c>
      <c r="CX41" s="210">
        <v>0.22</v>
      </c>
      <c r="CY41" s="30">
        <v>99</v>
      </c>
      <c r="CZ41" s="30">
        <v>7.6705390716190323</v>
      </c>
    </row>
    <row r="42" spans="22:105" x14ac:dyDescent="0.55000000000000004">
      <c r="V42" s="171">
        <v>14</v>
      </c>
      <c r="W42" s="56" t="str">
        <f>$B$20</f>
        <v>Beans - White</v>
      </c>
      <c r="X42" s="201">
        <f>$C$20</f>
        <v>324.36862679836781</v>
      </c>
      <c r="Y42" s="201">
        <f>$D$20</f>
        <v>137.9501265625</v>
      </c>
      <c r="Z42" s="201">
        <f>$E$20</f>
        <v>30</v>
      </c>
      <c r="AA42" s="201">
        <f>$F$20</f>
        <v>492.31875336086785</v>
      </c>
      <c r="AC42" s="56" t="str">
        <f>$B$20</f>
        <v>Beans - White</v>
      </c>
      <c r="AD42" s="202">
        <f>$Q$20</f>
        <v>1081.2</v>
      </c>
      <c r="AE42" s="202">
        <f>$R$20</f>
        <v>1541.1</v>
      </c>
      <c r="AF42" s="202">
        <f>$S$20</f>
        <v>1641.1</v>
      </c>
      <c r="AH42" s="56" t="str">
        <f>$B$20</f>
        <v>Beans - White</v>
      </c>
      <c r="AI42" s="202">
        <f>$S$20</f>
        <v>1641.1</v>
      </c>
      <c r="AJ42" s="203">
        <f>$T$20</f>
        <v>1.0663579306562672</v>
      </c>
      <c r="AL42" s="56" t="str">
        <f>$B$20</f>
        <v>Beans - White</v>
      </c>
      <c r="AM42" s="202">
        <f>$H$20</f>
        <v>1750</v>
      </c>
      <c r="AN42" s="204">
        <f>$I$20</f>
        <v>0.3</v>
      </c>
      <c r="AO42" s="204">
        <f>$J$20</f>
        <v>525</v>
      </c>
      <c r="AQ42" s="56" t="str">
        <f>$B$20</f>
        <v>Beans - White</v>
      </c>
      <c r="AR42" s="204">
        <f>$J$20</f>
        <v>525</v>
      </c>
      <c r="AS42" s="201">
        <f>$F$20</f>
        <v>492.31875336086785</v>
      </c>
      <c r="AT42" s="205">
        <f>$L$20</f>
        <v>200.63137320163219</v>
      </c>
      <c r="AU42" s="205">
        <f>$M$20</f>
        <v>62.681246639132155</v>
      </c>
      <c r="AV42" s="205">
        <f>$N$20</f>
        <v>32.681246639132155</v>
      </c>
      <c r="AX42" s="56" t="str">
        <f>$B$20</f>
        <v>Beans - White</v>
      </c>
      <c r="AY42" s="201">
        <f>$C$20</f>
        <v>324.36862679836781</v>
      </c>
      <c r="AZ42" s="206">
        <f>$W$20</f>
        <v>413.952</v>
      </c>
      <c r="BA42" s="201">
        <f>$X$20</f>
        <v>0.32</v>
      </c>
      <c r="BB42" s="207">
        <f>$Y$20</f>
        <v>1.2761776750293379</v>
      </c>
      <c r="BC42" s="207">
        <f>$Z$20</f>
        <v>0.84082110862954407</v>
      </c>
      <c r="BE42" s="56" t="str">
        <f>$B$20</f>
        <v>Beans - White</v>
      </c>
      <c r="BF42" s="202">
        <f>$H$20</f>
        <v>1750</v>
      </c>
      <c r="BG42" s="204">
        <f>$AH$20</f>
        <v>0.18535350102763876</v>
      </c>
      <c r="BH42" s="204">
        <f>$AI$20</f>
        <v>0.26418214477763879</v>
      </c>
      <c r="BI42" s="204">
        <f>$I$20</f>
        <v>0.3</v>
      </c>
      <c r="BJ42" s="204">
        <f>$AJ$20</f>
        <v>0.28132500192049592</v>
      </c>
      <c r="BL42" s="56" t="str">
        <f>$B$20</f>
        <v>Beans - White</v>
      </c>
      <c r="BM42" s="201">
        <f>$AA$20</f>
        <v>22.537499999999998</v>
      </c>
      <c r="BN42" s="208">
        <f>$AB$20</f>
        <v>5.4444718228200364E-2</v>
      </c>
      <c r="BO42" s="207"/>
      <c r="BP42" s="56" t="str">
        <f>$B$20</f>
        <v>Beans - White</v>
      </c>
      <c r="BQ42" s="205">
        <f>$AL$20</f>
        <v>124.64137320163223</v>
      </c>
      <c r="BR42" s="205">
        <f>$AM$20</f>
        <v>-13.308753360867797</v>
      </c>
      <c r="BS42" s="205">
        <f>$AN$20</f>
        <v>-43.308753360867797</v>
      </c>
      <c r="BU42" s="56" t="str">
        <f>$B$20</f>
        <v>Beans - White</v>
      </c>
      <c r="BV42" s="205">
        <f>$AD$20</f>
        <v>0</v>
      </c>
      <c r="BW42" s="205">
        <f>$AE$20</f>
        <v>48.366753360867847</v>
      </c>
      <c r="BX42" s="205">
        <f>$AF$20</f>
        <v>30</v>
      </c>
      <c r="BY42" s="205">
        <f>$AG$20</f>
        <v>78.366753360867847</v>
      </c>
      <c r="CA42" s="56" t="str">
        <f>$B$20</f>
        <v>Beans - White</v>
      </c>
      <c r="CB42" s="205">
        <f>$AP$20</f>
        <v>1.0663822907740768</v>
      </c>
      <c r="CC42" s="208">
        <f>$AQ$20</f>
        <v>3.4071513144339496E-2</v>
      </c>
      <c r="CD42" s="203">
        <f>$AR$20</f>
        <v>6.6382290774076855E-2</v>
      </c>
      <c r="CE42" s="208"/>
      <c r="CF42" s="56" t="str">
        <f>$B$20</f>
        <v>Beans - White</v>
      </c>
      <c r="CG42" s="205">
        <f>$AT$20</f>
        <v>0.236544</v>
      </c>
      <c r="CH42" s="205">
        <f>$AU$20</f>
        <v>4.4781001920495916E-2</v>
      </c>
      <c r="CI42" s="205">
        <f>$AV$20</f>
        <v>1.8674998079504068E-2</v>
      </c>
      <c r="CJ42" s="205">
        <v>0</v>
      </c>
      <c r="CN42" s="56" t="str">
        <f>$B$20</f>
        <v>Beans - White</v>
      </c>
      <c r="CO42" s="205">
        <f>$AX$20</f>
        <v>97.361246639132162</v>
      </c>
      <c r="CP42" s="205">
        <f>$AY$20</f>
        <v>94.5</v>
      </c>
      <c r="CQ42" s="205">
        <f>$AZ$20</f>
        <v>2.8612466391321618</v>
      </c>
      <c r="CR42" s="208">
        <f>$BA$20</f>
        <v>5.4798587936924431E-3</v>
      </c>
      <c r="CS42" s="205">
        <f>$BB$20</f>
        <v>115.5</v>
      </c>
      <c r="CT42" s="205">
        <f>$BC$20</f>
        <v>-18.138753360867838</v>
      </c>
      <c r="CU42" s="208">
        <f>$BD$20</f>
        <v>-3.3396168563976932E-2</v>
      </c>
    </row>
    <row r="43" spans="22:105" x14ac:dyDescent="0.55000000000000004">
      <c r="V43" s="171">
        <v>15</v>
      </c>
      <c r="W43" s="56" t="str">
        <f>$B$21</f>
        <v>Sunflower Oil</v>
      </c>
      <c r="X43" s="201">
        <f>$C$21</f>
        <v>227.82202186665569</v>
      </c>
      <c r="Y43" s="201">
        <f>$D$21</f>
        <v>147.33982499999999</v>
      </c>
      <c r="Z43" s="201">
        <f>$E$21</f>
        <v>30</v>
      </c>
      <c r="AA43" s="201">
        <f>$F$21</f>
        <v>405.16184686665565</v>
      </c>
      <c r="AC43" s="56" t="str">
        <f>$B$21</f>
        <v>Sunflower Oil</v>
      </c>
      <c r="AD43" s="202">
        <f>$Q$21</f>
        <v>949.3</v>
      </c>
      <c r="AE43" s="202">
        <f>$R$21</f>
        <v>1563.2</v>
      </c>
      <c r="AF43" s="202">
        <f>$S$21</f>
        <v>1688.2</v>
      </c>
      <c r="AH43" s="56" t="str">
        <f>$B$21</f>
        <v>Sunflower Oil</v>
      </c>
      <c r="AI43" s="202">
        <f>$S$21</f>
        <v>1688.2</v>
      </c>
      <c r="AJ43" s="203">
        <f>$T$21</f>
        <v>1.066224380997512</v>
      </c>
      <c r="AL43" s="56" t="str">
        <f>$B$21</f>
        <v>Sunflower Oil</v>
      </c>
      <c r="AM43" s="202">
        <f>$H$21</f>
        <v>1800</v>
      </c>
      <c r="AN43" s="204">
        <f>$I$21</f>
        <v>0.24</v>
      </c>
      <c r="AO43" s="204">
        <f>$J$21</f>
        <v>432</v>
      </c>
      <c r="AQ43" s="56" t="str">
        <f>$B$21</f>
        <v>Sunflower Oil</v>
      </c>
      <c r="AR43" s="204">
        <f>$J$21</f>
        <v>432</v>
      </c>
      <c r="AS43" s="201">
        <f>$F$21</f>
        <v>405.16184686665565</v>
      </c>
      <c r="AT43" s="205">
        <f>$L$21</f>
        <v>204.17797813334431</v>
      </c>
      <c r="AU43" s="205">
        <f>$M$21</f>
        <v>56.838153133344349</v>
      </c>
      <c r="AV43" s="205">
        <f>$N$21</f>
        <v>26.838153133344349</v>
      </c>
      <c r="AX43" s="56" t="str">
        <f>$B$21</f>
        <v>Sunflower Oil</v>
      </c>
      <c r="AY43" s="201">
        <f>$C$21</f>
        <v>227.82202186665569</v>
      </c>
      <c r="AZ43" s="206">
        <f>$W$21</f>
        <v>322.94400000000002</v>
      </c>
      <c r="BA43" s="201">
        <f>$X$21</f>
        <v>0.24</v>
      </c>
      <c r="BB43" s="207">
        <f>$Y$21</f>
        <v>1.4175275829525351</v>
      </c>
      <c r="BC43" s="207">
        <f>$Z$21</f>
        <v>0.7970740643461558</v>
      </c>
      <c r="BE43" s="56" t="str">
        <f>$B$21</f>
        <v>Sunflower Oil</v>
      </c>
      <c r="BF43" s="202">
        <f>$H$21</f>
        <v>1800</v>
      </c>
      <c r="BG43" s="204">
        <f>$AH$21</f>
        <v>0.12656778992591983</v>
      </c>
      <c r="BH43" s="204">
        <f>$AI$21</f>
        <v>0.20842324825925315</v>
      </c>
      <c r="BI43" s="204">
        <f>$I$21</f>
        <v>0.24</v>
      </c>
      <c r="BJ43" s="204">
        <f>$AJ$21</f>
        <v>0.22508991492591982</v>
      </c>
      <c r="BL43" s="56" t="str">
        <f>$B$21</f>
        <v>Sunflower Oil</v>
      </c>
      <c r="BM43" s="201">
        <f>$AA$21</f>
        <v>16.7225</v>
      </c>
      <c r="BN43" s="208">
        <f>$AB$21</f>
        <v>5.1781423404676973E-2</v>
      </c>
      <c r="BO43" s="207"/>
      <c r="BP43" s="56" t="str">
        <f>$B$21</f>
        <v>Sunflower Oil</v>
      </c>
      <c r="BQ43" s="205">
        <f>$AL$21</f>
        <v>141.53797813334432</v>
      </c>
      <c r="BR43" s="205">
        <f>$AM$21</f>
        <v>-5.8018468666556373</v>
      </c>
      <c r="BS43" s="205">
        <f>$AN$21</f>
        <v>-35.801846866655637</v>
      </c>
      <c r="BU43" s="56" t="str">
        <f>$B$21</f>
        <v>Sunflower Oil</v>
      </c>
      <c r="BV43" s="205">
        <f>$AD$21</f>
        <v>0</v>
      </c>
      <c r="BW43" s="205">
        <f>$AE$21</f>
        <v>52.217846866655634</v>
      </c>
      <c r="BX43" s="205">
        <f>$AF$21</f>
        <v>30</v>
      </c>
      <c r="BY43" s="205">
        <f>$AG$21</f>
        <v>82.217846866655634</v>
      </c>
      <c r="CA43" s="56" t="str">
        <f>$B$21</f>
        <v>Sunflower Oil</v>
      </c>
      <c r="CB43" s="205">
        <f>$AP$21</f>
        <v>1.0662405735902798</v>
      </c>
      <c r="CC43" s="208">
        <f>$AQ$21</f>
        <v>3.4389489976274959E-2</v>
      </c>
      <c r="CD43" s="203">
        <f>$AR$21</f>
        <v>6.6240573590279725E-2</v>
      </c>
      <c r="CE43" s="208"/>
      <c r="CF43" s="56" t="str">
        <f>$B$21</f>
        <v>Sunflower Oil</v>
      </c>
      <c r="CG43" s="205">
        <f>$AT$21</f>
        <v>0.17941333333333334</v>
      </c>
      <c r="CH43" s="205">
        <f>$AU$21</f>
        <v>4.5676581592586474E-2</v>
      </c>
      <c r="CI43" s="205">
        <f>$AV$21</f>
        <v>1.4910085074080176E-2</v>
      </c>
      <c r="CJ43" s="205">
        <v>0</v>
      </c>
      <c r="CN43" s="56" t="str">
        <f>$B$21</f>
        <v>Sunflower Oil</v>
      </c>
      <c r="CO43" s="205">
        <f>$AX$21</f>
        <v>91.518153133344299</v>
      </c>
      <c r="CP43" s="205">
        <f>$AY$21</f>
        <v>77.759999999999991</v>
      </c>
      <c r="CQ43" s="205">
        <f>$AZ$21</f>
        <v>13.758153133344308</v>
      </c>
      <c r="CR43" s="208">
        <f>$BA$21</f>
        <v>3.2895209401967607E-2</v>
      </c>
      <c r="CS43" s="205">
        <f>$BB$21</f>
        <v>95.04</v>
      </c>
      <c r="CT43" s="205">
        <f>$BC$21</f>
        <v>-3.5218468666557072</v>
      </c>
      <c r="CU43" s="208">
        <f>$BD$21</f>
        <v>-8.0864987416670187E-3</v>
      </c>
      <c r="CW43" s="55" t="s">
        <v>481</v>
      </c>
      <c r="CX43" s="210">
        <v>0.18</v>
      </c>
      <c r="CY43" s="30">
        <v>75.599999999999994</v>
      </c>
      <c r="CZ43" s="30">
        <v>38.787970671386717</v>
      </c>
    </row>
    <row r="44" spans="22:105" x14ac:dyDescent="0.55000000000000004">
      <c r="V44" s="171">
        <v>16</v>
      </c>
      <c r="W44" s="56" t="str">
        <f>$B$22</f>
        <v>Wheat - Special Purpose</v>
      </c>
      <c r="X44" s="201">
        <f>$C$22</f>
        <v>203.68254550327609</v>
      </c>
      <c r="Y44" s="201">
        <f>$D$22</f>
        <v>138.65366250000002</v>
      </c>
      <c r="Z44" s="201">
        <f>$E$22</f>
        <v>30</v>
      </c>
      <c r="AA44" s="201">
        <f>$F$22</f>
        <v>372.33620800327611</v>
      </c>
      <c r="AC44" s="56" t="str">
        <f>$B$22</f>
        <v>Wheat - Special Purpose</v>
      </c>
      <c r="AD44" s="202">
        <f>$Q$22</f>
        <v>39.200000000000003</v>
      </c>
      <c r="AE44" s="202">
        <f>$R$22</f>
        <v>65.8</v>
      </c>
      <c r="AF44" s="202">
        <f>$S$22</f>
        <v>71.599999999999994</v>
      </c>
      <c r="AH44" s="56" t="str">
        <f>$B$22</f>
        <v>Wheat - Special Purpose</v>
      </c>
      <c r="AI44" s="202">
        <f>$S$22</f>
        <v>71.599999999999994</v>
      </c>
      <c r="AJ44" s="203">
        <f>$T$22</f>
        <v>0.94972067039106156</v>
      </c>
      <c r="AL44" s="56" t="str">
        <f>$B$22</f>
        <v>Wheat - Special Purpose</v>
      </c>
      <c r="AM44" s="202">
        <f>$H$22</f>
        <v>68</v>
      </c>
      <c r="AN44" s="204">
        <f>$I$22</f>
        <v>5.2</v>
      </c>
      <c r="AO44" s="204">
        <f>$J$22</f>
        <v>353.6</v>
      </c>
      <c r="AQ44" s="56" t="str">
        <f>$B$22</f>
        <v>Wheat - Special Purpose</v>
      </c>
      <c r="AR44" s="204">
        <f>$J$22</f>
        <v>353.6</v>
      </c>
      <c r="AS44" s="201">
        <f>$F$22</f>
        <v>372.33620800327611</v>
      </c>
      <c r="AT44" s="205">
        <f>$L$22</f>
        <v>149.91745449672393</v>
      </c>
      <c r="AU44" s="205">
        <f>$M$22</f>
        <v>11.26379199672391</v>
      </c>
      <c r="AV44" s="205">
        <f>$N$22</f>
        <v>-18.73620800327609</v>
      </c>
      <c r="AX44" s="56" t="str">
        <f>$B$22</f>
        <v>Wheat - Special Purpose</v>
      </c>
      <c r="AY44" s="201">
        <f>$C$22</f>
        <v>203.68254550327609</v>
      </c>
      <c r="AZ44" s="206">
        <f>$W$22</f>
        <v>212.91580000000002</v>
      </c>
      <c r="BA44" s="201">
        <f>$X$22</f>
        <v>4.49</v>
      </c>
      <c r="BB44" s="207">
        <f>$Y$22</f>
        <v>1.0453315941918815</v>
      </c>
      <c r="BC44" s="207">
        <f>$Z$22</f>
        <v>0.57183748296143844</v>
      </c>
      <c r="BE44" s="56" t="str">
        <f>$B$22</f>
        <v>Wheat - Special Purpose</v>
      </c>
      <c r="BF44" s="202">
        <f>$H$22</f>
        <v>68</v>
      </c>
      <c r="BG44" s="204">
        <f>$AH$22</f>
        <v>2.995331551518766</v>
      </c>
      <c r="BH44" s="204">
        <f>$AI$22</f>
        <v>5.0343560000481782</v>
      </c>
      <c r="BI44" s="204">
        <f>$I$22</f>
        <v>5.2</v>
      </c>
      <c r="BJ44" s="204">
        <f>$AJ$22</f>
        <v>5.4755324706364137</v>
      </c>
      <c r="BL44" s="56" t="str">
        <f>$B$22</f>
        <v>Wheat - Special Purpose</v>
      </c>
      <c r="BM44" s="201">
        <f>$AA$22</f>
        <v>8.8249999999999993</v>
      </c>
      <c r="BN44" s="208">
        <f>$AB$22</f>
        <v>4.1448309613471609E-2</v>
      </c>
      <c r="BO44" s="207"/>
      <c r="BP44" s="56" t="str">
        <f>$B$22</f>
        <v>Wheat - Special Purpose</v>
      </c>
      <c r="BQ44" s="205">
        <f>$AL$22</f>
        <v>100.51745449672396</v>
      </c>
      <c r="BR44" s="205">
        <f>$AM$22</f>
        <v>-38.136208003276067</v>
      </c>
      <c r="BS44" s="205">
        <f>$AN$22</f>
        <v>-68.136208003276067</v>
      </c>
      <c r="BU44" s="56" t="str">
        <f>$B$22</f>
        <v>Wheat - Special Purpose</v>
      </c>
      <c r="BV44" s="205">
        <f>$AD$22</f>
        <v>0</v>
      </c>
      <c r="BW44" s="205">
        <f>$AE$22</f>
        <v>129.42040800327609</v>
      </c>
      <c r="BX44" s="205">
        <f>$AF$22</f>
        <v>30</v>
      </c>
      <c r="BY44" s="205">
        <f>$AG$22</f>
        <v>159.42040800327609</v>
      </c>
      <c r="CA44" s="56" t="str">
        <f>$B$22</f>
        <v>Wheat - Special Purpose</v>
      </c>
      <c r="CB44" s="205">
        <f>$AP$22</f>
        <v>0.94967932851937076</v>
      </c>
      <c r="CC44" s="208">
        <f>$AQ$22</f>
        <v>2.0797616304221719E-2</v>
      </c>
      <c r="CD44" s="203">
        <f>$AR$22</f>
        <v>-5.0320671480629235E-2</v>
      </c>
      <c r="CE44" s="208"/>
      <c r="CF44" s="56" t="str">
        <f>$B$22</f>
        <v>Wheat - Special Purpose</v>
      </c>
      <c r="CG44" s="205">
        <f>$AT$22</f>
        <v>3.1311147058823532</v>
      </c>
      <c r="CH44" s="205">
        <f>$AU$22</f>
        <v>2.3444177647540605</v>
      </c>
      <c r="CI44" s="205">
        <f>$AV$22</f>
        <v>-0.27553247063641351</v>
      </c>
      <c r="CJ44" s="205">
        <v>0</v>
      </c>
      <c r="CN44" s="56" t="str">
        <f>$B$22</f>
        <v>Wheat - Special Purpose</v>
      </c>
      <c r="CO44" s="205">
        <f>$AX$22</f>
        <v>45.943791996723974</v>
      </c>
      <c r="CP44" s="205">
        <f>$AY$22</f>
        <v>63.648000000000003</v>
      </c>
      <c r="CQ44" s="205">
        <f>$AZ$22</f>
        <v>-17.70420800327603</v>
      </c>
      <c r="CR44" s="208">
        <f>$BA$222</f>
        <v>0</v>
      </c>
      <c r="CS44" s="205">
        <f>$BB$22</f>
        <v>77.792000000000002</v>
      </c>
      <c r="CT44" s="205">
        <f>$BC$22</f>
        <v>-31.848208003276028</v>
      </c>
      <c r="CU44" s="208">
        <f>$BD$22</f>
        <v>-8.2626426435494907E-2</v>
      </c>
      <c r="CX44" s="210">
        <v>0.22</v>
      </c>
      <c r="CY44" s="30">
        <v>92.4</v>
      </c>
      <c r="CZ44" s="30">
        <v>21.987970671386705</v>
      </c>
    </row>
    <row r="45" spans="22:105" x14ac:dyDescent="0.55000000000000004">
      <c r="V45" s="171">
        <v>17</v>
      </c>
      <c r="W45" s="56" t="str">
        <f>$B$23</f>
        <v>Wheat - Prairie Spring</v>
      </c>
      <c r="X45" s="201">
        <f>$C$23</f>
        <v>201.56004550327609</v>
      </c>
      <c r="Y45" s="201">
        <f>$D$23</f>
        <v>138.65366250000002</v>
      </c>
      <c r="Z45" s="201">
        <f>$E$23</f>
        <v>30</v>
      </c>
      <c r="AA45" s="201">
        <f>$F$23</f>
        <v>370.21370800327611</v>
      </c>
      <c r="AC45" s="56" t="str">
        <f>$B$23</f>
        <v>Wheat - Prairie Spring</v>
      </c>
      <c r="AD45" s="202">
        <f>$Q$23</f>
        <v>38.799999999999997</v>
      </c>
      <c r="AE45" s="202">
        <f>$R$23</f>
        <v>65.400000000000006</v>
      </c>
      <c r="AF45" s="202">
        <f>$S$23</f>
        <v>71.2</v>
      </c>
      <c r="AH45" s="56" t="str">
        <f>$B$23</f>
        <v>Wheat - Prairie Spring</v>
      </c>
      <c r="AI45" s="202">
        <f>$S$23</f>
        <v>71.2</v>
      </c>
      <c r="AJ45" s="203">
        <f>$T$23</f>
        <v>0.9550561797752809</v>
      </c>
      <c r="AL45" s="56" t="str">
        <f>$B$23</f>
        <v>Wheat - Prairie Spring</v>
      </c>
      <c r="AM45" s="202">
        <f>$H$23</f>
        <v>68</v>
      </c>
      <c r="AN45" s="204">
        <f>$I$23</f>
        <v>5.2</v>
      </c>
      <c r="AO45" s="204">
        <f>$J$23</f>
        <v>353.6</v>
      </c>
      <c r="AQ45" s="56" t="str">
        <f>$B$23</f>
        <v>Wheat - Prairie Spring</v>
      </c>
      <c r="AR45" s="204">
        <f>$J$23</f>
        <v>353.6</v>
      </c>
      <c r="AS45" s="201">
        <f>$F$23</f>
        <v>370.21370800327611</v>
      </c>
      <c r="AT45" s="205">
        <f>$L$23</f>
        <v>152.03995449672394</v>
      </c>
      <c r="AU45" s="205">
        <f>$M$23</f>
        <v>13.386291996723912</v>
      </c>
      <c r="AV45" s="205">
        <f>$N$23</f>
        <v>-16.613708003276088</v>
      </c>
      <c r="AX45" s="56" t="str">
        <f>$B$23</f>
        <v>Wheat - Prairie Spring</v>
      </c>
      <c r="AY45" s="201">
        <f>$C$23</f>
        <v>201.56004550327609</v>
      </c>
      <c r="AZ45" s="206">
        <f>$W$23</f>
        <v>208.6054</v>
      </c>
      <c r="BA45" s="201">
        <f>$X$23</f>
        <v>4.49</v>
      </c>
      <c r="BB45" s="207">
        <f>$Y$23</f>
        <v>1.0349541223764478</v>
      </c>
      <c r="BC45" s="207">
        <f>$Z$23</f>
        <v>0.56347292250494951</v>
      </c>
      <c r="BE45" s="56" t="str">
        <f>$B$23</f>
        <v>Wheat - Prairie Spring</v>
      </c>
      <c r="BF45" s="202">
        <f>$H$23</f>
        <v>68</v>
      </c>
      <c r="BG45" s="204">
        <f>$AH$23</f>
        <v>2.9641183162246483</v>
      </c>
      <c r="BH45" s="204">
        <f>$AI$23</f>
        <v>5.0031427647540605</v>
      </c>
      <c r="BI45" s="204">
        <f>$I$23</f>
        <v>5.2</v>
      </c>
      <c r="BJ45" s="204">
        <f>$AJ$23</f>
        <v>5.444319235342296</v>
      </c>
      <c r="BL45" s="56" t="str">
        <f>$B$23</f>
        <v>Wheat - Prairie Spring</v>
      </c>
      <c r="BM45" s="201">
        <f>$AA$23</f>
        <v>6.7524999999999995</v>
      </c>
      <c r="BN45" s="208">
        <f>$AB$23</f>
        <v>3.2369727725169141E-2</v>
      </c>
      <c r="BO45" s="207"/>
      <c r="BP45" s="56" t="str">
        <f>$B$23</f>
        <v>Wheat - Prairie Spring</v>
      </c>
      <c r="BQ45" s="205">
        <f>$AL$23</f>
        <v>102.63995449672396</v>
      </c>
      <c r="BR45" s="205">
        <f>$AM$23</f>
        <v>-36.013708003276065</v>
      </c>
      <c r="BS45" s="205">
        <f>$AN$23</f>
        <v>-66.013708003276065</v>
      </c>
      <c r="BU45" s="56" t="str">
        <f>$B$23</f>
        <v>Wheat - Prairie Spring</v>
      </c>
      <c r="BV45" s="205">
        <f>$AD$23</f>
        <v>0</v>
      </c>
      <c r="BW45" s="205">
        <f>$AE$23</f>
        <v>131.60830800327611</v>
      </c>
      <c r="BX45" s="205">
        <f>$AF$23</f>
        <v>30</v>
      </c>
      <c r="BY45" s="205">
        <f>$AG$23</f>
        <v>161.60830800327611</v>
      </c>
      <c r="CA45" s="56" t="str">
        <f>$B$23</f>
        <v>Wheat - Prairie Spring</v>
      </c>
      <c r="CB45" s="205">
        <f>$AP$23</f>
        <v>0.95512400636680617</v>
      </c>
      <c r="CC45" s="208">
        <f>$AQ$23</f>
        <v>2.1392454037532632E-2</v>
      </c>
      <c r="CD45" s="203">
        <f>$AR$23</f>
        <v>-4.4875993633193799E-2</v>
      </c>
      <c r="CE45" s="208"/>
      <c r="CF45" s="56" t="str">
        <f>$B$23</f>
        <v>Wheat - Prairie Spring</v>
      </c>
      <c r="CG45" s="205">
        <f>$AT$23</f>
        <v>3.0677264705882354</v>
      </c>
      <c r="CH45" s="205">
        <f>$AU$23</f>
        <v>2.3765927647540606</v>
      </c>
      <c r="CI45" s="205">
        <f>$AV$23</f>
        <v>-0.24431923534229583</v>
      </c>
      <c r="CJ45" s="205">
        <v>0</v>
      </c>
      <c r="CN45" s="56" t="str">
        <f>$B$23</f>
        <v>Wheat - Prairie Spring</v>
      </c>
      <c r="CO45" s="205">
        <f>$AX$23</f>
        <v>48.066291996723976</v>
      </c>
      <c r="CP45" s="205">
        <f>$AY$23</f>
        <v>63.648000000000003</v>
      </c>
      <c r="CQ45" s="205">
        <f>$AZ$23</f>
        <v>-15.581708003276027</v>
      </c>
      <c r="CR45" s="208">
        <f>$BA$23</f>
        <v>-4.2206067271181695E-2</v>
      </c>
      <c r="CS45" s="205">
        <f>$BB$23</f>
        <v>77.792000000000002</v>
      </c>
      <c r="CT45" s="205">
        <f>$BC$23</f>
        <v>-29.725708003276026</v>
      </c>
      <c r="CU45" s="208">
        <f>$BD$23</f>
        <v>-7.7546867801055436E-2</v>
      </c>
    </row>
    <row r="46" spans="22:105" x14ac:dyDescent="0.55000000000000004">
      <c r="CW46" s="55" t="s">
        <v>482</v>
      </c>
      <c r="CX46" s="210">
        <v>0.18</v>
      </c>
      <c r="CY46" s="30">
        <v>67.814999999999998</v>
      </c>
      <c r="CZ46" s="30">
        <v>8.8722823433440112</v>
      </c>
    </row>
    <row r="47" spans="22:105" x14ac:dyDescent="0.55000000000000004">
      <c r="CM47" s="55" t="s">
        <v>483</v>
      </c>
      <c r="CN47" s="187"/>
      <c r="CO47" s="209">
        <f>AVERAGE($CO$29:$CO$31)</f>
        <v>99.105097362116609</v>
      </c>
      <c r="CP47" s="209">
        <f>AVERAGE($CP$29:$CP$31)</f>
        <v>74.804999999999993</v>
      </c>
      <c r="CQ47" s="209">
        <f>AVERAGE($CQ$29:$CQ$31)</f>
        <v>24.300097362116606</v>
      </c>
      <c r="CR47" s="191">
        <f>AVERAGE($CR$29:$CR$31)</f>
        <v>6.2013617287167359E-2</v>
      </c>
      <c r="CS47" s="209">
        <f>AVERAGE($CS$29:$CS$31)</f>
        <v>91.428333333333327</v>
      </c>
      <c r="CT47" s="209">
        <f>AVERAGE($CT$29:$CT$31)</f>
        <v>7.6767640287832677</v>
      </c>
      <c r="CU47" s="191">
        <f>AVERAGE($CU$29:$CU$31)</f>
        <v>1.8688606060596604E-2</v>
      </c>
      <c r="CX47" s="210">
        <v>0.22</v>
      </c>
      <c r="CY47" s="30">
        <v>82.885000000000005</v>
      </c>
      <c r="CZ47" s="30">
        <v>-6.1977176566559962</v>
      </c>
    </row>
    <row r="48" spans="22:105" x14ac:dyDescent="0.55000000000000004">
      <c r="CB48" s="55" t="s">
        <v>484</v>
      </c>
    </row>
    <row r="67" spans="1:74" x14ac:dyDescent="0.55000000000000004">
      <c r="A67" s="211"/>
      <c r="B67" s="83" t="s">
        <v>411</v>
      </c>
      <c r="C67" s="212">
        <v>6.26</v>
      </c>
      <c r="D67" s="213">
        <v>244.01479999999998</v>
      </c>
      <c r="E67" s="214">
        <v>192.30719999999999</v>
      </c>
      <c r="F67" s="214">
        <v>225.36</v>
      </c>
      <c r="G67" s="214">
        <v>209.33439999999996</v>
      </c>
      <c r="H67" s="214">
        <v>230.36799999999999</v>
      </c>
      <c r="I67" s="214">
        <v>250.4</v>
      </c>
      <c r="J67" s="214">
        <v>222.85599999999999</v>
      </c>
      <c r="K67" s="214">
        <v>217.84800000000001</v>
      </c>
      <c r="L67" s="214">
        <v>253.90560000000002</v>
      </c>
      <c r="M67" s="214">
        <v>229.86720000000003</v>
      </c>
      <c r="N67" s="214">
        <v>264.42239999999998</v>
      </c>
      <c r="O67" s="214">
        <v>230.86880000000002</v>
      </c>
      <c r="P67" s="214">
        <v>277.44319999999999</v>
      </c>
      <c r="Q67" s="214">
        <v>234.87520000000001</v>
      </c>
      <c r="R67" s="214">
        <v>193.80960000000002</v>
      </c>
      <c r="S67" s="214">
        <v>196.31360000000001</v>
      </c>
      <c r="T67" s="214">
        <v>194.31039999999999</v>
      </c>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1"/>
      <c r="AY67" s="211"/>
      <c r="AZ67" s="211"/>
      <c r="BA67" s="211"/>
      <c r="BB67" s="211"/>
      <c r="BC67" s="211"/>
      <c r="BD67" s="211"/>
      <c r="BE67" s="211"/>
      <c r="BF67" s="211"/>
      <c r="BG67" s="211"/>
      <c r="BH67" s="211"/>
      <c r="BI67" s="211"/>
      <c r="BJ67" s="211"/>
      <c r="BK67" s="211"/>
      <c r="BL67" s="211"/>
      <c r="BM67" s="211"/>
      <c r="BN67" s="211"/>
      <c r="BO67" s="211"/>
      <c r="BP67" s="211"/>
      <c r="BQ67" s="211"/>
      <c r="BR67" s="211"/>
      <c r="BS67" s="211"/>
      <c r="BT67" s="211"/>
      <c r="BU67" s="211"/>
      <c r="BV67" s="211"/>
    </row>
    <row r="68" spans="1:74" x14ac:dyDescent="0.55000000000000004">
      <c r="A68" s="211"/>
      <c r="B68" s="83" t="s">
        <v>413</v>
      </c>
      <c r="C68" s="212">
        <v>9.8000000000000007</v>
      </c>
      <c r="D68" s="213">
        <v>229.71200000000002</v>
      </c>
      <c r="E68" s="214">
        <v>225.79200000000003</v>
      </c>
      <c r="F68" s="214">
        <v>225.79200000000003</v>
      </c>
      <c r="G68" s="214">
        <v>225.79200000000003</v>
      </c>
      <c r="H68" s="214">
        <v>238.33600000000001</v>
      </c>
      <c r="I68" s="214">
        <v>238.33600000000001</v>
      </c>
      <c r="J68" s="214">
        <v>188.16000000000003</v>
      </c>
      <c r="K68" s="214">
        <v>188.16000000000003</v>
      </c>
      <c r="L68" s="214">
        <v>188.16000000000003</v>
      </c>
      <c r="M68" s="214">
        <v>225.79200000000003</v>
      </c>
      <c r="N68" s="214">
        <v>238.33600000000001</v>
      </c>
      <c r="O68" s="214">
        <v>238.33600000000001</v>
      </c>
      <c r="P68" s="214">
        <v>266.56000000000006</v>
      </c>
      <c r="Q68" s="214">
        <v>238.33600000000001</v>
      </c>
      <c r="R68" s="214">
        <v>238.33600000000001</v>
      </c>
      <c r="S68" s="214">
        <v>238.33600000000001</v>
      </c>
      <c r="T68" s="214">
        <v>188.16000000000003</v>
      </c>
      <c r="U68" s="211"/>
      <c r="V68" s="211"/>
      <c r="W68" s="211"/>
      <c r="X68" s="211"/>
      <c r="Y68" s="211"/>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1"/>
      <c r="AV68" s="211"/>
      <c r="AW68" s="211"/>
      <c r="AX68" s="211"/>
      <c r="AY68" s="211"/>
      <c r="AZ68" s="211"/>
      <c r="BA68" s="211"/>
      <c r="BB68" s="211"/>
      <c r="BC68" s="211"/>
      <c r="BD68" s="211"/>
      <c r="BE68" s="211"/>
      <c r="BF68" s="211"/>
      <c r="BG68" s="211"/>
      <c r="BH68" s="211"/>
      <c r="BI68" s="211"/>
      <c r="BJ68" s="211"/>
      <c r="BK68" s="211"/>
      <c r="BL68" s="211"/>
      <c r="BM68" s="211"/>
      <c r="BN68" s="211"/>
      <c r="BO68" s="211"/>
      <c r="BP68" s="211"/>
      <c r="BQ68" s="211"/>
      <c r="BR68" s="211"/>
      <c r="BS68" s="211"/>
      <c r="BT68" s="211"/>
      <c r="BU68" s="211"/>
      <c r="BV68" s="211"/>
    </row>
    <row r="69" spans="1:74" x14ac:dyDescent="0.55000000000000004">
      <c r="A69" s="211"/>
      <c r="B69" s="83" t="s">
        <v>485</v>
      </c>
      <c r="C69" s="212">
        <v>5.17</v>
      </c>
      <c r="D69" s="213">
        <v>266.15160000000003</v>
      </c>
      <c r="E69" s="214">
        <v>209.69520000000003</v>
      </c>
      <c r="F69" s="214">
        <v>245.67840000000001</v>
      </c>
      <c r="G69" s="214">
        <v>228.30720000000002</v>
      </c>
      <c r="H69" s="214">
        <v>251.05520000000001</v>
      </c>
      <c r="I69" s="214">
        <v>272.976</v>
      </c>
      <c r="J69" s="214">
        <v>243.1968</v>
      </c>
      <c r="K69" s="214">
        <v>237.40639999999999</v>
      </c>
      <c r="L69" s="214">
        <v>276.69840000000005</v>
      </c>
      <c r="M69" s="214">
        <v>250.64160000000004</v>
      </c>
      <c r="N69" s="214">
        <v>290.76079999999996</v>
      </c>
      <c r="O69" s="214">
        <v>251.88240000000002</v>
      </c>
      <c r="P69" s="214">
        <v>302.7552</v>
      </c>
      <c r="Q69" s="214">
        <v>256.01839999999999</v>
      </c>
      <c r="R69" s="214">
        <v>211.34960000000001</v>
      </c>
      <c r="S69" s="214">
        <v>213.8312</v>
      </c>
      <c r="T69" s="214">
        <v>216.72640000000001</v>
      </c>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c r="AY69" s="211"/>
      <c r="AZ69" s="211"/>
      <c r="BA69" s="211"/>
      <c r="BB69" s="211"/>
      <c r="BC69" s="211"/>
      <c r="BD69" s="211"/>
      <c r="BE69" s="211"/>
      <c r="BF69" s="211"/>
      <c r="BG69" s="211"/>
      <c r="BH69" s="211"/>
      <c r="BI69" s="211"/>
      <c r="BJ69" s="211"/>
      <c r="BK69" s="211"/>
      <c r="BL69" s="211"/>
      <c r="BM69" s="211"/>
      <c r="BN69" s="211"/>
      <c r="BO69" s="211"/>
      <c r="BP69" s="211"/>
      <c r="BQ69" s="211"/>
      <c r="BR69" s="211"/>
      <c r="BS69" s="211"/>
      <c r="BT69" s="211"/>
      <c r="BU69" s="211"/>
      <c r="BV69" s="211"/>
    </row>
    <row r="70" spans="1:74" x14ac:dyDescent="0.55000000000000004">
      <c r="A70" s="211"/>
      <c r="B70" s="83" t="s">
        <v>412</v>
      </c>
      <c r="C70" s="212">
        <v>10.89</v>
      </c>
      <c r="D70" s="213">
        <v>319.73040000000003</v>
      </c>
      <c r="E70" s="214">
        <v>242.19360000000003</v>
      </c>
      <c r="F70" s="214">
        <v>301.43520000000007</v>
      </c>
      <c r="G70" s="214">
        <v>271.81440000000003</v>
      </c>
      <c r="H70" s="214">
        <v>310.14720000000005</v>
      </c>
      <c r="I70" s="214">
        <v>342.38159999999999</v>
      </c>
      <c r="J70" s="214">
        <v>297.07920000000007</v>
      </c>
      <c r="K70" s="214">
        <v>285.75360000000001</v>
      </c>
      <c r="L70" s="214">
        <v>321.47280000000001</v>
      </c>
      <c r="M70" s="214">
        <v>304.92</v>
      </c>
      <c r="N70" s="214">
        <v>329.31360000000001</v>
      </c>
      <c r="O70" s="214">
        <v>285.75360000000001</v>
      </c>
      <c r="P70" s="214">
        <v>338.0256</v>
      </c>
      <c r="Q70" s="214">
        <v>270.07200000000006</v>
      </c>
      <c r="R70" s="214">
        <v>228.2544</v>
      </c>
      <c r="S70" s="214">
        <v>248.29200000000003</v>
      </c>
      <c r="T70" s="214">
        <v>244.80720000000002</v>
      </c>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1"/>
      <c r="BR70" s="211"/>
      <c r="BS70" s="211"/>
      <c r="BT70" s="211"/>
      <c r="BU70" s="211"/>
      <c r="BV70" s="211"/>
    </row>
    <row r="71" spans="1:74" x14ac:dyDescent="0.55000000000000004">
      <c r="A71" s="211"/>
      <c r="B71" s="211"/>
      <c r="C71" s="57" t="s">
        <v>486</v>
      </c>
      <c r="D71" s="215" t="s">
        <v>487</v>
      </c>
      <c r="E71" s="215" t="s">
        <v>488</v>
      </c>
      <c r="F71" s="215" t="s">
        <v>489</v>
      </c>
      <c r="G71" s="215" t="s">
        <v>490</v>
      </c>
      <c r="H71" s="215" t="s">
        <v>491</v>
      </c>
      <c r="I71" s="215" t="s">
        <v>492</v>
      </c>
      <c r="J71" s="215" t="s">
        <v>493</v>
      </c>
      <c r="K71" s="215" t="s">
        <v>494</v>
      </c>
      <c r="L71" s="215" t="s">
        <v>495</v>
      </c>
      <c r="M71" s="215" t="s">
        <v>496</v>
      </c>
      <c r="N71" s="215" t="s">
        <v>497</v>
      </c>
      <c r="O71" s="215" t="s">
        <v>498</v>
      </c>
      <c r="P71" s="215" t="s">
        <v>499</v>
      </c>
      <c r="Q71" s="215" t="s">
        <v>500</v>
      </c>
      <c r="R71" s="215" t="s">
        <v>501</v>
      </c>
      <c r="S71" s="215" t="s">
        <v>502</v>
      </c>
      <c r="T71" s="215" t="s">
        <v>503</v>
      </c>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1"/>
      <c r="BR71" s="211"/>
      <c r="BS71" s="211"/>
      <c r="BT71" s="211"/>
      <c r="BU71" s="211"/>
      <c r="BV71" s="211"/>
    </row>
    <row r="78" spans="1:74" s="211" customFormat="1" x14ac:dyDescent="0.55000000000000004">
      <c r="A78" s="56"/>
      <c r="B78" s="54" t="s">
        <v>420</v>
      </c>
      <c r="C78" s="56"/>
      <c r="D78" s="56"/>
      <c r="E78" s="56"/>
      <c r="F78" s="56"/>
      <c r="G78" s="56"/>
      <c r="H78" s="56"/>
      <c r="I78" s="56"/>
      <c r="J78" s="56"/>
      <c r="K78" s="56"/>
      <c r="L78" s="56"/>
      <c r="M78" s="56"/>
      <c r="N78" s="56"/>
      <c r="O78" s="56"/>
      <c r="P78" s="56"/>
      <c r="Q78" s="56"/>
      <c r="R78" s="56"/>
      <c r="S78" s="56"/>
      <c r="T78" s="56"/>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row>
    <row r="79" spans="1:74" s="211" customFormat="1" x14ac:dyDescent="0.55000000000000004">
      <c r="A79" s="56"/>
      <c r="B79" s="54" t="s">
        <v>504</v>
      </c>
      <c r="C79" s="56"/>
      <c r="D79" s="193"/>
      <c r="E79" s="193"/>
      <c r="F79" s="193"/>
      <c r="G79" s="193"/>
      <c r="H79" s="193"/>
      <c r="I79" s="193"/>
      <c r="J79" s="193"/>
      <c r="K79" s="193"/>
      <c r="L79" s="193"/>
      <c r="M79" s="193"/>
      <c r="N79" s="193"/>
      <c r="O79" s="193"/>
      <c r="P79" s="193"/>
      <c r="Q79" s="193"/>
      <c r="R79" s="193"/>
      <c r="S79" s="193"/>
      <c r="T79" s="193"/>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row>
    <row r="80" spans="1:74" s="211" customFormat="1" x14ac:dyDescent="0.55000000000000004">
      <c r="A80" s="56"/>
      <c r="B80" s="54" t="s">
        <v>505</v>
      </c>
      <c r="C80" s="56"/>
      <c r="D80" s="56"/>
      <c r="E80" s="56"/>
      <c r="F80" s="56"/>
      <c r="G80" s="56"/>
      <c r="H80" s="56"/>
      <c r="I80" s="56"/>
      <c r="J80" s="56"/>
      <c r="K80" s="56"/>
      <c r="L80" s="56"/>
      <c r="M80" s="56"/>
      <c r="N80" s="56"/>
      <c r="O80" s="56"/>
      <c r="P80" s="56"/>
      <c r="Q80" s="56"/>
      <c r="R80" s="56"/>
      <c r="S80" s="56"/>
      <c r="T80" s="56"/>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row>
    <row r="81" spans="1:74" s="211" customFormat="1" x14ac:dyDescent="0.55000000000000004">
      <c r="A81" s="56"/>
      <c r="B81" s="56"/>
      <c r="C81" s="56"/>
      <c r="D81" s="56"/>
      <c r="E81" s="56"/>
      <c r="F81" s="56"/>
      <c r="G81" s="56"/>
      <c r="H81" s="56"/>
      <c r="I81" s="56"/>
      <c r="J81" s="56"/>
      <c r="K81" s="56"/>
      <c r="L81" s="56"/>
      <c r="M81" s="56"/>
      <c r="N81" s="56"/>
      <c r="O81" s="56"/>
      <c r="P81" s="56"/>
      <c r="Q81" s="56"/>
      <c r="R81" s="56"/>
      <c r="S81" s="56"/>
      <c r="T81" s="56"/>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row>
    <row r="82" spans="1:74" s="211" customFormat="1" x14ac:dyDescent="0.55000000000000004">
      <c r="A82" s="56"/>
      <c r="B82" s="56"/>
      <c r="C82" s="56"/>
      <c r="D82" s="56"/>
      <c r="E82" s="56"/>
      <c r="F82" s="56"/>
      <c r="G82" s="56"/>
      <c r="H82" s="56"/>
      <c r="I82" s="56"/>
      <c r="J82" s="56"/>
      <c r="K82" s="56"/>
      <c r="L82" s="56"/>
      <c r="M82" s="56"/>
      <c r="N82" s="56"/>
      <c r="O82" s="56"/>
      <c r="P82" s="56"/>
      <c r="Q82" s="56"/>
      <c r="R82" s="56"/>
      <c r="S82" s="56"/>
      <c r="T82" s="56"/>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row>
    <row r="83" spans="1:74" s="211" customFormat="1" ht="15" x14ac:dyDescent="0.5">
      <c r="B83" s="54" t="s">
        <v>420</v>
      </c>
      <c r="C83" s="216">
        <v>2016</v>
      </c>
      <c r="D83" s="217" t="s">
        <v>506</v>
      </c>
    </row>
    <row r="84" spans="1:74" s="211" customFormat="1" ht="15.3" x14ac:dyDescent="0.55000000000000004">
      <c r="B84" s="83" t="s">
        <v>507</v>
      </c>
      <c r="C84" s="212">
        <v>4.1399999999999997</v>
      </c>
      <c r="D84" s="213">
        <v>222.98039999999997</v>
      </c>
      <c r="E84" s="214">
        <v>150.696</v>
      </c>
      <c r="F84" s="214">
        <v>222.23519999999999</v>
      </c>
      <c r="G84" s="214">
        <v>173.5488</v>
      </c>
      <c r="H84" s="214">
        <v>202.36320000000001</v>
      </c>
      <c r="I84" s="214">
        <v>230.51519999999996</v>
      </c>
      <c r="J84" s="214">
        <v>196.07040000000001</v>
      </c>
      <c r="K84" s="214">
        <v>188.4528</v>
      </c>
      <c r="L84" s="214">
        <v>172.55520000000001</v>
      </c>
      <c r="M84" s="214">
        <v>196.4016</v>
      </c>
      <c r="N84" s="214">
        <v>178.18559999999999</v>
      </c>
      <c r="O84" s="214">
        <v>220.57919999999996</v>
      </c>
      <c r="P84" s="214">
        <v>243.10079999999999</v>
      </c>
      <c r="Q84" s="214">
        <v>214.28640000000001</v>
      </c>
      <c r="R84" s="214">
        <v>171.89279999999999</v>
      </c>
      <c r="S84" s="214">
        <v>164.60640000000001</v>
      </c>
      <c r="T84" s="214">
        <v>168.24959999999999</v>
      </c>
    </row>
    <row r="85" spans="1:74" s="211" customFormat="1" ht="15.3" x14ac:dyDescent="0.55000000000000004">
      <c r="B85" s="83" t="s">
        <v>508</v>
      </c>
      <c r="C85" s="212">
        <v>2.85</v>
      </c>
      <c r="D85" s="213">
        <v>218.42400000000004</v>
      </c>
      <c r="E85" s="214">
        <v>176.01600000000002</v>
      </c>
      <c r="F85" s="214">
        <v>213.63600000000002</v>
      </c>
      <c r="G85" s="214">
        <v>164.38800000000001</v>
      </c>
      <c r="H85" s="214">
        <v>191.74800000000002</v>
      </c>
      <c r="I85" s="214">
        <v>221.61600000000004</v>
      </c>
      <c r="J85" s="214">
        <v>191.29200000000003</v>
      </c>
      <c r="K85" s="214">
        <v>191.52</v>
      </c>
      <c r="L85" s="214">
        <v>194.02800000000002</v>
      </c>
      <c r="M85" s="214">
        <v>191.74800000000002</v>
      </c>
      <c r="N85" s="214">
        <v>198.36</v>
      </c>
      <c r="O85" s="214">
        <v>211.58400000000003</v>
      </c>
      <c r="P85" s="214">
        <v>247.15200000000002</v>
      </c>
      <c r="Q85" s="214">
        <v>222.07200000000003</v>
      </c>
      <c r="R85" s="214">
        <v>162.33600000000001</v>
      </c>
      <c r="S85" s="214">
        <v>186.27600000000004</v>
      </c>
      <c r="T85" s="214">
        <v>153.67200000000003</v>
      </c>
    </row>
    <row r="86" spans="1:74" s="211" customFormat="1" ht="15.3" x14ac:dyDescent="0.55000000000000004">
      <c r="B86" s="83" t="s">
        <v>509</v>
      </c>
      <c r="C86" s="212">
        <v>4.83</v>
      </c>
      <c r="D86" s="213">
        <v>335.202</v>
      </c>
      <c r="E86" s="214">
        <v>297.52800000000002</v>
      </c>
      <c r="F86" s="214">
        <v>297.52800000000002</v>
      </c>
      <c r="G86" s="214">
        <v>297.52800000000002</v>
      </c>
      <c r="H86" s="214">
        <v>380.99040000000002</v>
      </c>
      <c r="I86" s="214">
        <v>380.99040000000002</v>
      </c>
      <c r="J86" s="214">
        <v>210.20160000000001</v>
      </c>
      <c r="K86" s="214">
        <v>210.20160000000001</v>
      </c>
      <c r="L86" s="214">
        <v>210.20160000000001</v>
      </c>
      <c r="M86" s="214">
        <v>297.52800000000002</v>
      </c>
      <c r="N86" s="214">
        <v>380.99040000000002</v>
      </c>
      <c r="O86" s="214">
        <v>380.99040000000002</v>
      </c>
      <c r="P86" s="214">
        <v>452.08800000000002</v>
      </c>
      <c r="Q86" s="214">
        <v>380.99040000000002</v>
      </c>
      <c r="R86" s="214">
        <v>380.99040000000002</v>
      </c>
      <c r="S86" s="214">
        <v>380.99040000000002</v>
      </c>
      <c r="T86" s="214">
        <v>210.20160000000001</v>
      </c>
    </row>
    <row r="87" spans="1:74" s="211" customFormat="1" ht="15.3" x14ac:dyDescent="0.55000000000000004">
      <c r="B87" s="83" t="s">
        <v>510</v>
      </c>
      <c r="C87" s="212">
        <v>0.28999999999999998</v>
      </c>
      <c r="D87" s="213">
        <v>330.89</v>
      </c>
      <c r="E87" s="214">
        <v>347.76800000000003</v>
      </c>
      <c r="F87" s="214">
        <v>347.76800000000003</v>
      </c>
      <c r="G87" s="214">
        <v>347.76800000000003</v>
      </c>
      <c r="H87" s="214">
        <v>347.76800000000003</v>
      </c>
      <c r="I87" s="214">
        <v>347.76800000000003</v>
      </c>
      <c r="J87" s="214">
        <v>278.16800000000001</v>
      </c>
      <c r="K87" s="214">
        <v>278.16800000000001</v>
      </c>
      <c r="L87" s="214">
        <v>278.16800000000001</v>
      </c>
      <c r="M87" s="214">
        <v>347.76800000000003</v>
      </c>
      <c r="N87" s="214">
        <v>349.85599999999999</v>
      </c>
      <c r="O87" s="214">
        <v>349.85599999999999</v>
      </c>
      <c r="P87" s="214">
        <v>349.85599999999999</v>
      </c>
      <c r="Q87" s="214">
        <v>270.512</v>
      </c>
      <c r="R87" s="214">
        <v>347.76800000000003</v>
      </c>
      <c r="S87" s="214">
        <v>347.76800000000003</v>
      </c>
      <c r="T87" s="214">
        <v>278.16800000000001</v>
      </c>
    </row>
    <row r="88" spans="1:74" s="211" customFormat="1" ht="15.3" x14ac:dyDescent="0.55000000000000004">
      <c r="B88" s="83" t="s">
        <v>511</v>
      </c>
      <c r="C88" s="212">
        <v>12.45</v>
      </c>
      <c r="D88" s="213">
        <v>228.83099999999999</v>
      </c>
      <c r="E88" s="214">
        <v>177.28800000000001</v>
      </c>
      <c r="F88" s="214">
        <v>220.11599999999999</v>
      </c>
      <c r="G88" s="214">
        <v>207.16800000000001</v>
      </c>
      <c r="H88" s="214">
        <v>234.06</v>
      </c>
      <c r="I88" s="214">
        <v>248.00399999999996</v>
      </c>
      <c r="J88" s="214">
        <v>228.08399999999997</v>
      </c>
      <c r="K88" s="214">
        <v>223.10399999999996</v>
      </c>
      <c r="L88" s="214">
        <v>239.03999999999996</v>
      </c>
      <c r="M88" s="214">
        <v>187.24800000000002</v>
      </c>
      <c r="N88" s="214">
        <v>208.16399999999999</v>
      </c>
      <c r="O88" s="214">
        <v>198.20399999999998</v>
      </c>
      <c r="P88" s="214">
        <v>219.12</v>
      </c>
      <c r="Q88" s="214">
        <v>190.23600000000002</v>
      </c>
      <c r="R88" s="214">
        <v>150.39599999999999</v>
      </c>
      <c r="S88" s="214">
        <v>148.404</v>
      </c>
      <c r="T88" s="214">
        <v>216.13199999999998</v>
      </c>
    </row>
    <row r="89" spans="1:74" s="211" customFormat="1" ht="15.3" x14ac:dyDescent="0.55000000000000004">
      <c r="B89" s="83" t="s">
        <v>512</v>
      </c>
      <c r="C89" s="212">
        <v>0.26</v>
      </c>
      <c r="D89" s="213">
        <v>329.26400000000007</v>
      </c>
      <c r="E89" s="214">
        <v>329.26400000000007</v>
      </c>
      <c r="F89" s="214">
        <v>329.26400000000007</v>
      </c>
      <c r="G89" s="214">
        <v>329.26400000000007</v>
      </c>
      <c r="H89" s="214">
        <v>329.26400000000007</v>
      </c>
      <c r="I89" s="214">
        <v>329.26400000000007</v>
      </c>
      <c r="J89" s="214">
        <v>329.26400000000007</v>
      </c>
      <c r="K89" s="214">
        <v>263.12000000000006</v>
      </c>
      <c r="L89" s="214">
        <v>263.12000000000006</v>
      </c>
      <c r="M89" s="214">
        <v>329.26400000000007</v>
      </c>
      <c r="N89" s="214">
        <v>329.26400000000007</v>
      </c>
      <c r="O89" s="214">
        <v>329.26400000000007</v>
      </c>
      <c r="P89" s="214">
        <v>329.26400000000007</v>
      </c>
      <c r="Q89" s="214">
        <v>276.01600000000002</v>
      </c>
      <c r="R89" s="214">
        <v>329.26400000000007</v>
      </c>
      <c r="S89" s="214">
        <v>329.26400000000007</v>
      </c>
      <c r="T89" s="214">
        <v>263.12000000000006</v>
      </c>
    </row>
    <row r="90" spans="1:74" s="211" customFormat="1" ht="15.3" x14ac:dyDescent="0.55000000000000004">
      <c r="B90" s="83" t="s">
        <v>513</v>
      </c>
      <c r="C90" s="212">
        <v>0.22</v>
      </c>
      <c r="D90" s="213">
        <v>278.608</v>
      </c>
      <c r="E90" s="214">
        <v>278.608</v>
      </c>
      <c r="F90" s="214">
        <v>278.608</v>
      </c>
      <c r="G90" s="214">
        <v>278.608</v>
      </c>
      <c r="H90" s="214">
        <v>278.608</v>
      </c>
      <c r="I90" s="214">
        <v>278.608</v>
      </c>
      <c r="J90" s="214">
        <v>278.608</v>
      </c>
      <c r="K90" s="214">
        <v>222.64000000000001</v>
      </c>
      <c r="L90" s="214">
        <v>222.64000000000001</v>
      </c>
      <c r="M90" s="214">
        <v>278.608</v>
      </c>
      <c r="N90" s="214">
        <v>278.608</v>
      </c>
      <c r="O90" s="214">
        <v>278.608</v>
      </c>
      <c r="P90" s="214">
        <v>278.608</v>
      </c>
      <c r="Q90" s="214">
        <v>233.55200000000002</v>
      </c>
      <c r="R90" s="214">
        <v>278.608</v>
      </c>
      <c r="S90" s="214">
        <v>278.608</v>
      </c>
      <c r="T90" s="214">
        <v>222.64000000000001</v>
      </c>
    </row>
    <row r="91" spans="1:74" s="211" customFormat="1" ht="15.3" x14ac:dyDescent="0.55000000000000004">
      <c r="B91" s="83" t="s">
        <v>514</v>
      </c>
      <c r="C91" s="212">
        <v>7.62</v>
      </c>
      <c r="D91" s="213">
        <v>237.74400000000003</v>
      </c>
      <c r="E91" s="214">
        <v>237.74400000000003</v>
      </c>
      <c r="F91" s="214">
        <v>237.74400000000003</v>
      </c>
      <c r="G91" s="214">
        <v>237.74400000000003</v>
      </c>
      <c r="H91" s="214">
        <v>237.74400000000003</v>
      </c>
      <c r="I91" s="214">
        <v>237.74400000000003</v>
      </c>
      <c r="J91" s="214">
        <v>237.74400000000003</v>
      </c>
      <c r="K91" s="214">
        <v>237.74400000000003</v>
      </c>
      <c r="L91" s="214">
        <v>237.74400000000003</v>
      </c>
      <c r="M91" s="214">
        <v>237.74400000000003</v>
      </c>
      <c r="N91" s="214">
        <v>237.74400000000003</v>
      </c>
      <c r="O91" s="214">
        <v>237.74400000000003</v>
      </c>
      <c r="P91" s="214">
        <v>237.74400000000003</v>
      </c>
      <c r="Q91" s="214">
        <v>147.5232</v>
      </c>
      <c r="R91" s="214">
        <v>237.74400000000003</v>
      </c>
      <c r="S91" s="214">
        <v>237.74400000000003</v>
      </c>
      <c r="T91" s="214">
        <v>237.74400000000003</v>
      </c>
    </row>
    <row r="92" spans="1:74" s="211" customFormat="1" ht="15.3" x14ac:dyDescent="0.55000000000000004">
      <c r="B92" s="83" t="s">
        <v>515</v>
      </c>
      <c r="C92" s="212">
        <v>5.59</v>
      </c>
      <c r="D92" s="213">
        <v>202.58159999999998</v>
      </c>
      <c r="E92" s="214">
        <v>202.58159999999998</v>
      </c>
      <c r="F92" s="214">
        <v>202.58159999999998</v>
      </c>
      <c r="G92" s="214">
        <v>202.58159999999998</v>
      </c>
      <c r="H92" s="214">
        <v>202.58159999999998</v>
      </c>
      <c r="I92" s="214">
        <v>202.58159999999998</v>
      </c>
      <c r="J92" s="214">
        <v>202.58159999999998</v>
      </c>
      <c r="K92" s="214">
        <v>202.58159999999998</v>
      </c>
      <c r="L92" s="214">
        <v>202.58159999999998</v>
      </c>
      <c r="M92" s="214">
        <v>202.58159999999998</v>
      </c>
      <c r="N92" s="214">
        <v>202.58159999999998</v>
      </c>
      <c r="O92" s="214">
        <v>202.58159999999998</v>
      </c>
      <c r="P92" s="214">
        <v>202.58159999999998</v>
      </c>
      <c r="Q92" s="214">
        <v>227.17759999999998</v>
      </c>
      <c r="R92" s="214">
        <v>202.58159999999998</v>
      </c>
      <c r="S92" s="214">
        <v>202.58159999999998</v>
      </c>
      <c r="T92" s="214">
        <v>202.58159999999998</v>
      </c>
    </row>
    <row r="93" spans="1:74" s="211" customFormat="1" ht="15.3" x14ac:dyDescent="0.55000000000000004">
      <c r="B93" s="83" t="s">
        <v>516</v>
      </c>
      <c r="C93" s="212">
        <v>0.26</v>
      </c>
      <c r="D93" s="213">
        <v>264.16000000000003</v>
      </c>
      <c r="E93" s="214">
        <v>264.16000000000003</v>
      </c>
      <c r="F93" s="214">
        <v>264.16000000000003</v>
      </c>
      <c r="G93" s="214">
        <v>264.16000000000003</v>
      </c>
      <c r="H93" s="214">
        <v>264.16000000000003</v>
      </c>
      <c r="I93" s="214">
        <v>264.16000000000003</v>
      </c>
      <c r="J93" s="214">
        <v>264.16000000000003</v>
      </c>
      <c r="K93" s="214">
        <v>264.16000000000003</v>
      </c>
      <c r="L93" s="214">
        <v>264.16000000000003</v>
      </c>
      <c r="M93" s="214">
        <v>264.16000000000003</v>
      </c>
      <c r="N93" s="214">
        <v>264.16000000000003</v>
      </c>
      <c r="O93" s="214">
        <v>264.16000000000003</v>
      </c>
      <c r="P93" s="214">
        <v>264.16000000000003</v>
      </c>
      <c r="Q93" s="214">
        <v>256.88000000000005</v>
      </c>
      <c r="R93" s="214">
        <v>264.16000000000003</v>
      </c>
      <c r="S93" s="214">
        <v>264.16000000000003</v>
      </c>
      <c r="T93" s="214">
        <v>264.16000000000003</v>
      </c>
    </row>
    <row r="94" spans="1:74" s="211" customFormat="1" ht="15.3" x14ac:dyDescent="0.55000000000000004">
      <c r="B94" s="83" t="s">
        <v>517</v>
      </c>
      <c r="C94" s="212">
        <v>0.32</v>
      </c>
      <c r="D94" s="213">
        <v>250.11199999999999</v>
      </c>
      <c r="E94" s="214">
        <v>250.11199999999999</v>
      </c>
      <c r="F94" s="214">
        <v>250.11199999999999</v>
      </c>
      <c r="G94" s="214">
        <v>250.11199999999999</v>
      </c>
      <c r="H94" s="214">
        <v>250.11199999999999</v>
      </c>
      <c r="I94" s="214">
        <v>250.11199999999999</v>
      </c>
      <c r="J94" s="214">
        <v>250.11199999999999</v>
      </c>
      <c r="K94" s="214">
        <v>250.11199999999999</v>
      </c>
      <c r="L94" s="214">
        <v>199.68</v>
      </c>
      <c r="M94" s="214">
        <v>250.11199999999999</v>
      </c>
      <c r="N94" s="214">
        <v>250.11199999999999</v>
      </c>
      <c r="O94" s="214">
        <v>250.11199999999999</v>
      </c>
      <c r="P94" s="214">
        <v>250.11199999999999</v>
      </c>
      <c r="Q94" s="214">
        <v>190.208</v>
      </c>
      <c r="R94" s="214">
        <v>199.68</v>
      </c>
      <c r="S94" s="214">
        <v>199.68</v>
      </c>
      <c r="T94" s="214">
        <v>199.68</v>
      </c>
    </row>
    <row r="95" spans="1:74" s="211" customFormat="1" ht="15.3" x14ac:dyDescent="0.55000000000000004">
      <c r="B95" s="83" t="s">
        <v>518</v>
      </c>
      <c r="C95" s="212">
        <v>13.93</v>
      </c>
      <c r="D95" s="213">
        <v>180.53280000000001</v>
      </c>
      <c r="E95" s="214">
        <v>180.53280000000001</v>
      </c>
      <c r="F95" s="214">
        <v>180.53280000000001</v>
      </c>
      <c r="G95" s="214">
        <v>180.53280000000001</v>
      </c>
      <c r="H95" s="214">
        <v>180.53280000000001</v>
      </c>
      <c r="I95" s="214">
        <v>180.53280000000001</v>
      </c>
      <c r="J95" s="214">
        <v>180.53280000000001</v>
      </c>
      <c r="K95" s="214">
        <v>180.53280000000001</v>
      </c>
      <c r="L95" s="214">
        <v>180.53280000000001</v>
      </c>
      <c r="M95" s="214">
        <v>180.53280000000001</v>
      </c>
      <c r="N95" s="214">
        <v>180.53280000000001</v>
      </c>
      <c r="O95" s="214">
        <v>180.53280000000001</v>
      </c>
      <c r="P95" s="214">
        <v>180.53280000000001</v>
      </c>
      <c r="Q95" s="214">
        <v>105.86800000000001</v>
      </c>
      <c r="R95" s="214">
        <v>180.53280000000001</v>
      </c>
      <c r="S95" s="214">
        <v>180.53280000000001</v>
      </c>
      <c r="T95" s="214">
        <v>180.53280000000001</v>
      </c>
    </row>
    <row r="96" spans="1:74" s="211" customFormat="1" ht="15.3" x14ac:dyDescent="0.55000000000000004">
      <c r="B96" s="83" t="s">
        <v>519</v>
      </c>
      <c r="C96" s="212">
        <v>0.71</v>
      </c>
      <c r="D96" s="213">
        <v>295.36</v>
      </c>
      <c r="E96" s="214">
        <v>295.36</v>
      </c>
      <c r="F96" s="214">
        <v>295.36</v>
      </c>
      <c r="G96" s="214">
        <v>295.36</v>
      </c>
      <c r="H96" s="214">
        <v>295.36</v>
      </c>
      <c r="I96" s="214">
        <v>295.36</v>
      </c>
      <c r="J96" s="214">
        <v>295.36</v>
      </c>
      <c r="K96" s="214">
        <v>295.36</v>
      </c>
      <c r="L96" s="214">
        <v>295.36</v>
      </c>
      <c r="M96" s="214">
        <v>295.36</v>
      </c>
      <c r="N96" s="214">
        <v>295.36</v>
      </c>
      <c r="O96" s="214">
        <v>295.36</v>
      </c>
      <c r="P96" s="214">
        <v>295.36</v>
      </c>
      <c r="Q96" s="214">
        <v>295.36</v>
      </c>
      <c r="R96" s="214">
        <v>295.36</v>
      </c>
      <c r="S96" s="214">
        <v>295.36</v>
      </c>
      <c r="T96" s="214">
        <v>295.36</v>
      </c>
    </row>
    <row r="97" spans="2:20" s="211" customFormat="1" ht="12.3" x14ac:dyDescent="0.4"/>
    <row r="98" spans="2:20" s="211" customFormat="1" ht="15" x14ac:dyDescent="0.5">
      <c r="B98" s="54" t="s">
        <v>504</v>
      </c>
      <c r="C98" s="57">
        <f>C78</f>
        <v>0</v>
      </c>
      <c r="D98" s="217" t="s">
        <v>506</v>
      </c>
    </row>
    <row r="99" spans="2:20" s="211" customFormat="1" ht="15" x14ac:dyDescent="0.5">
      <c r="C99" s="57" t="s">
        <v>486</v>
      </c>
      <c r="D99" s="218" t="s">
        <v>487</v>
      </c>
      <c r="E99" s="218" t="s">
        <v>488</v>
      </c>
      <c r="F99" s="218" t="s">
        <v>489</v>
      </c>
      <c r="G99" s="218" t="s">
        <v>490</v>
      </c>
      <c r="H99" s="218" t="s">
        <v>491</v>
      </c>
      <c r="I99" s="218" t="s">
        <v>492</v>
      </c>
      <c r="J99" s="218" t="s">
        <v>493</v>
      </c>
      <c r="K99" s="218" t="s">
        <v>494</v>
      </c>
      <c r="L99" s="218" t="s">
        <v>495</v>
      </c>
      <c r="M99" s="218" t="s">
        <v>496</v>
      </c>
      <c r="N99" s="218" t="s">
        <v>497</v>
      </c>
      <c r="O99" s="218" t="s">
        <v>498</v>
      </c>
      <c r="P99" s="218" t="s">
        <v>499</v>
      </c>
      <c r="Q99" s="218" t="s">
        <v>500</v>
      </c>
      <c r="R99" s="218" t="s">
        <v>501</v>
      </c>
      <c r="S99" s="218" t="s">
        <v>502</v>
      </c>
      <c r="T99" s="218" t="s">
        <v>503</v>
      </c>
    </row>
    <row r="100" spans="2:20" s="211" customFormat="1" ht="15.3" x14ac:dyDescent="0.55000000000000004">
      <c r="B100" s="83" t="s">
        <v>412</v>
      </c>
      <c r="C100" s="219">
        <f>C80</f>
        <v>0</v>
      </c>
      <c r="D100" s="213">
        <v>279.76409999999998</v>
      </c>
      <c r="E100" s="214">
        <v>211.9194</v>
      </c>
      <c r="F100" s="214">
        <v>263.75580000000002</v>
      </c>
      <c r="G100" s="214">
        <v>237.83760000000001</v>
      </c>
      <c r="H100" s="214">
        <v>271.37880000000001</v>
      </c>
      <c r="I100" s="214">
        <v>299.58389999999997</v>
      </c>
      <c r="J100" s="214">
        <v>259.9443</v>
      </c>
      <c r="K100" s="214">
        <v>250.03439999999998</v>
      </c>
      <c r="L100" s="214">
        <v>281.28870000000001</v>
      </c>
      <c r="M100" s="214">
        <v>266.80500000000001</v>
      </c>
      <c r="N100" s="214">
        <v>288.14939999999996</v>
      </c>
      <c r="O100" s="214">
        <v>250.03439999999998</v>
      </c>
      <c r="P100" s="214">
        <v>295.77239999999995</v>
      </c>
      <c r="Q100" s="214">
        <v>236.31300000000002</v>
      </c>
      <c r="R100" s="214">
        <v>199.72259999999997</v>
      </c>
      <c r="S100" s="214">
        <v>217.25549999999998</v>
      </c>
      <c r="T100" s="214">
        <v>214.2063</v>
      </c>
    </row>
    <row r="101" spans="2:20" s="211" customFormat="1" ht="15.3" x14ac:dyDescent="0.55000000000000004">
      <c r="B101" s="83" t="s">
        <v>411</v>
      </c>
      <c r="C101" s="219">
        <f t="shared" ref="C101:C116" si="21">C81</f>
        <v>0</v>
      </c>
      <c r="D101" s="213">
        <v>213.51294999999999</v>
      </c>
      <c r="E101" s="214">
        <v>168.26879999999997</v>
      </c>
      <c r="F101" s="214">
        <v>197.18999999999997</v>
      </c>
      <c r="G101" s="214">
        <v>183.16759999999996</v>
      </c>
      <c r="H101" s="214">
        <v>201.57199999999997</v>
      </c>
      <c r="I101" s="214">
        <v>219.1</v>
      </c>
      <c r="J101" s="214">
        <v>194.999</v>
      </c>
      <c r="K101" s="214">
        <v>190.61699999999999</v>
      </c>
      <c r="L101" s="214">
        <v>222.16739999999999</v>
      </c>
      <c r="M101" s="214">
        <v>201.13379999999998</v>
      </c>
      <c r="N101" s="214">
        <v>231.36959999999996</v>
      </c>
      <c r="O101" s="214">
        <v>202.0102</v>
      </c>
      <c r="P101" s="214">
        <v>242.76279999999997</v>
      </c>
      <c r="Q101" s="214">
        <v>205.51579999999998</v>
      </c>
      <c r="R101" s="214">
        <v>169.58339999999998</v>
      </c>
      <c r="S101" s="214">
        <v>171.77439999999999</v>
      </c>
      <c r="T101" s="214">
        <v>170.02159999999998</v>
      </c>
    </row>
    <row r="102" spans="2:20" s="211" customFormat="1" ht="15.3" x14ac:dyDescent="0.55000000000000004">
      <c r="B102" s="83" t="s">
        <v>485</v>
      </c>
      <c r="C102" s="219">
        <f t="shared" si="21"/>
        <v>0</v>
      </c>
      <c r="D102" s="213">
        <v>232.88264999999998</v>
      </c>
      <c r="E102" s="214">
        <v>183.48330000000001</v>
      </c>
      <c r="F102" s="214">
        <v>214.96860000000001</v>
      </c>
      <c r="G102" s="214">
        <v>199.7688</v>
      </c>
      <c r="H102" s="214">
        <v>219.67330000000001</v>
      </c>
      <c r="I102" s="214">
        <v>238.85399999999996</v>
      </c>
      <c r="J102" s="214">
        <v>212.79719999999998</v>
      </c>
      <c r="K102" s="214">
        <v>207.73059999999998</v>
      </c>
      <c r="L102" s="214">
        <v>242.11110000000002</v>
      </c>
      <c r="M102" s="214">
        <v>219.31139999999999</v>
      </c>
      <c r="N102" s="214">
        <v>254.41569999999996</v>
      </c>
      <c r="O102" s="214">
        <v>220.39709999999999</v>
      </c>
      <c r="P102" s="214">
        <v>264.91079999999999</v>
      </c>
      <c r="Q102" s="214">
        <v>224.01609999999997</v>
      </c>
      <c r="R102" s="214">
        <v>184.93090000000001</v>
      </c>
      <c r="S102" s="214">
        <v>187.10229999999999</v>
      </c>
      <c r="T102" s="214">
        <v>189.63560000000001</v>
      </c>
    </row>
    <row r="103" spans="2:20" s="211" customFormat="1" ht="15.3" x14ac:dyDescent="0.55000000000000004">
      <c r="B103" s="83" t="s">
        <v>413</v>
      </c>
      <c r="C103" s="219">
        <f t="shared" si="21"/>
        <v>2016</v>
      </c>
      <c r="D103" s="213">
        <v>200.99799999999999</v>
      </c>
      <c r="E103" s="214">
        <v>197.56799999999998</v>
      </c>
      <c r="F103" s="214">
        <v>197.56799999999998</v>
      </c>
      <c r="G103" s="214">
        <v>197.56799999999998</v>
      </c>
      <c r="H103" s="214">
        <v>208.54400000000001</v>
      </c>
      <c r="I103" s="214">
        <v>208.54400000000001</v>
      </c>
      <c r="J103" s="214">
        <v>164.64000000000001</v>
      </c>
      <c r="K103" s="214">
        <v>164.64000000000001</v>
      </c>
      <c r="L103" s="214">
        <v>164.64000000000001</v>
      </c>
      <c r="M103" s="214">
        <v>197.56799999999998</v>
      </c>
      <c r="N103" s="214">
        <v>208.54400000000001</v>
      </c>
      <c r="O103" s="214">
        <v>208.54400000000001</v>
      </c>
      <c r="P103" s="214">
        <v>233.24</v>
      </c>
      <c r="Q103" s="214">
        <v>208.54400000000001</v>
      </c>
      <c r="R103" s="214">
        <v>208.54400000000001</v>
      </c>
      <c r="S103" s="214">
        <v>208.54400000000001</v>
      </c>
      <c r="T103" s="214">
        <v>164.64000000000001</v>
      </c>
    </row>
    <row r="104" spans="2:20" s="211" customFormat="1" ht="15.3" x14ac:dyDescent="0.55000000000000004">
      <c r="B104" s="83" t="s">
        <v>507</v>
      </c>
      <c r="C104" s="219">
        <f t="shared" si="21"/>
        <v>4.1399999999999997</v>
      </c>
      <c r="D104" s="213">
        <v>195.10784999999998</v>
      </c>
      <c r="E104" s="214">
        <v>131.85899999999998</v>
      </c>
      <c r="F104" s="214">
        <v>194.45579999999998</v>
      </c>
      <c r="G104" s="214">
        <v>151.85519999999997</v>
      </c>
      <c r="H104" s="214">
        <v>177.06779999999998</v>
      </c>
      <c r="I104" s="214">
        <v>201.70079999999996</v>
      </c>
      <c r="J104" s="214">
        <v>171.5616</v>
      </c>
      <c r="K104" s="214">
        <v>164.89619999999996</v>
      </c>
      <c r="L104" s="214">
        <v>150.98579999999998</v>
      </c>
      <c r="M104" s="214">
        <v>171.85139999999998</v>
      </c>
      <c r="N104" s="214">
        <v>155.91239999999996</v>
      </c>
      <c r="O104" s="214">
        <v>193.00679999999994</v>
      </c>
      <c r="P104" s="214">
        <v>212.71319999999997</v>
      </c>
      <c r="Q104" s="214">
        <v>187.50059999999999</v>
      </c>
      <c r="R104" s="214">
        <v>150.40619999999998</v>
      </c>
      <c r="S104" s="214">
        <v>144.03059999999999</v>
      </c>
      <c r="T104" s="214">
        <v>147.21839999999997</v>
      </c>
    </row>
    <row r="105" spans="2:20" s="211" customFormat="1" ht="15.3" x14ac:dyDescent="0.55000000000000004">
      <c r="B105" s="83" t="s">
        <v>508</v>
      </c>
      <c r="C105" s="219">
        <f t="shared" si="21"/>
        <v>2.85</v>
      </c>
      <c r="D105" s="213">
        <v>191.12099999999998</v>
      </c>
      <c r="E105" s="214">
        <v>154.01400000000001</v>
      </c>
      <c r="F105" s="214">
        <v>186.9315</v>
      </c>
      <c r="G105" s="214">
        <v>143.83949999999999</v>
      </c>
      <c r="H105" s="214">
        <v>167.77949999999998</v>
      </c>
      <c r="I105" s="214">
        <v>193.91400000000002</v>
      </c>
      <c r="J105" s="214">
        <v>167.38050000000001</v>
      </c>
      <c r="K105" s="214">
        <v>167.57999999999998</v>
      </c>
      <c r="L105" s="214">
        <v>169.77449999999999</v>
      </c>
      <c r="M105" s="214">
        <v>167.77949999999998</v>
      </c>
      <c r="N105" s="214">
        <v>173.565</v>
      </c>
      <c r="O105" s="214">
        <v>185.136</v>
      </c>
      <c r="P105" s="214">
        <v>216.25799999999998</v>
      </c>
      <c r="Q105" s="214">
        <v>194.31300000000002</v>
      </c>
      <c r="R105" s="214">
        <v>142.04400000000001</v>
      </c>
      <c r="S105" s="214">
        <v>162.9915</v>
      </c>
      <c r="T105" s="214">
        <v>134.46300000000002</v>
      </c>
    </row>
    <row r="106" spans="2:20" s="211" customFormat="1" ht="15.3" x14ac:dyDescent="0.55000000000000004">
      <c r="B106" s="83" t="s">
        <v>509</v>
      </c>
      <c r="C106" s="219">
        <f t="shared" si="21"/>
        <v>4.83</v>
      </c>
      <c r="D106" s="213">
        <v>293.30174999999997</v>
      </c>
      <c r="E106" s="214">
        <v>260.33699999999999</v>
      </c>
      <c r="F106" s="214">
        <v>260.33699999999999</v>
      </c>
      <c r="G106" s="214">
        <v>260.33699999999999</v>
      </c>
      <c r="H106" s="214">
        <v>333.36660000000001</v>
      </c>
      <c r="I106" s="214">
        <v>333.36660000000001</v>
      </c>
      <c r="J106" s="214">
        <v>183.9264</v>
      </c>
      <c r="K106" s="214">
        <v>183.9264</v>
      </c>
      <c r="L106" s="214">
        <v>183.9264</v>
      </c>
      <c r="M106" s="214">
        <v>260.33699999999999</v>
      </c>
      <c r="N106" s="214">
        <v>333.36660000000001</v>
      </c>
      <c r="O106" s="214">
        <v>333.36660000000001</v>
      </c>
      <c r="P106" s="214">
        <v>395.577</v>
      </c>
      <c r="Q106" s="214">
        <v>333.36660000000001</v>
      </c>
      <c r="R106" s="214">
        <v>333.36660000000001</v>
      </c>
      <c r="S106" s="214">
        <v>333.36660000000001</v>
      </c>
      <c r="T106" s="214">
        <v>183.9264</v>
      </c>
    </row>
    <row r="107" spans="2:20" s="211" customFormat="1" ht="15.3" x14ac:dyDescent="0.55000000000000004">
      <c r="B107" s="83" t="s">
        <v>510</v>
      </c>
      <c r="C107" s="219">
        <f t="shared" si="21"/>
        <v>0.28999999999999998</v>
      </c>
      <c r="D107" s="213">
        <v>289.52875</v>
      </c>
      <c r="E107" s="214">
        <v>304.29699999999997</v>
      </c>
      <c r="F107" s="214">
        <v>304.29699999999997</v>
      </c>
      <c r="G107" s="214">
        <v>304.29699999999997</v>
      </c>
      <c r="H107" s="214">
        <v>304.29699999999997</v>
      </c>
      <c r="I107" s="214">
        <v>304.29699999999997</v>
      </c>
      <c r="J107" s="214">
        <v>243.39699999999996</v>
      </c>
      <c r="K107" s="214">
        <v>243.39699999999996</v>
      </c>
      <c r="L107" s="214">
        <v>243.39699999999996</v>
      </c>
      <c r="M107" s="214">
        <v>304.29699999999997</v>
      </c>
      <c r="N107" s="214">
        <v>306.12399999999997</v>
      </c>
      <c r="O107" s="214">
        <v>306.12399999999997</v>
      </c>
      <c r="P107" s="214">
        <v>306.12399999999997</v>
      </c>
      <c r="Q107" s="214">
        <v>236.69799999999998</v>
      </c>
      <c r="R107" s="214">
        <v>304.29699999999997</v>
      </c>
      <c r="S107" s="214">
        <v>304.29699999999997</v>
      </c>
      <c r="T107" s="214">
        <v>243.39699999999996</v>
      </c>
    </row>
    <row r="108" spans="2:20" s="211" customFormat="1" ht="15.3" x14ac:dyDescent="0.55000000000000004">
      <c r="B108" s="83" t="s">
        <v>511</v>
      </c>
      <c r="C108" s="219">
        <f t="shared" si="21"/>
        <v>12.45</v>
      </c>
      <c r="D108" s="213">
        <v>200.22712499999994</v>
      </c>
      <c r="E108" s="214">
        <v>155.12699999999998</v>
      </c>
      <c r="F108" s="214">
        <v>192.60149999999999</v>
      </c>
      <c r="G108" s="214">
        <v>181.27199999999996</v>
      </c>
      <c r="H108" s="214">
        <v>204.80249999999998</v>
      </c>
      <c r="I108" s="214">
        <v>217.00349999999995</v>
      </c>
      <c r="J108" s="214">
        <v>199.57349999999997</v>
      </c>
      <c r="K108" s="214">
        <v>195.21599999999995</v>
      </c>
      <c r="L108" s="214">
        <v>209.15999999999997</v>
      </c>
      <c r="M108" s="214">
        <v>163.84199999999998</v>
      </c>
      <c r="N108" s="214">
        <v>182.14349999999999</v>
      </c>
      <c r="O108" s="214">
        <v>173.42849999999996</v>
      </c>
      <c r="P108" s="214">
        <v>191.72999999999996</v>
      </c>
      <c r="Q108" s="214">
        <v>166.45650000000001</v>
      </c>
      <c r="R108" s="214">
        <v>131.59649999999996</v>
      </c>
      <c r="S108" s="214">
        <v>129.8535</v>
      </c>
      <c r="T108" s="214">
        <v>189.11549999999997</v>
      </c>
    </row>
    <row r="109" spans="2:20" s="211" customFormat="1" ht="15.3" x14ac:dyDescent="0.55000000000000004">
      <c r="B109" s="83" t="s">
        <v>512</v>
      </c>
      <c r="C109" s="219">
        <f t="shared" si="21"/>
        <v>0.26</v>
      </c>
      <c r="D109" s="213">
        <v>288.10599999999999</v>
      </c>
      <c r="E109" s="214">
        <v>288.10599999999999</v>
      </c>
      <c r="F109" s="214">
        <v>288.10599999999999</v>
      </c>
      <c r="G109" s="214">
        <v>288.10599999999999</v>
      </c>
      <c r="H109" s="214">
        <v>288.10599999999999</v>
      </c>
      <c r="I109" s="214">
        <v>288.10599999999999</v>
      </c>
      <c r="J109" s="214">
        <v>288.10599999999999</v>
      </c>
      <c r="K109" s="214">
        <v>230.23000000000002</v>
      </c>
      <c r="L109" s="214">
        <v>230.23000000000002</v>
      </c>
      <c r="M109" s="214">
        <v>288.10599999999999</v>
      </c>
      <c r="N109" s="214">
        <v>288.10599999999999</v>
      </c>
      <c r="O109" s="214">
        <v>288.10599999999999</v>
      </c>
      <c r="P109" s="214">
        <v>288.10599999999999</v>
      </c>
      <c r="Q109" s="214">
        <v>241.51400000000001</v>
      </c>
      <c r="R109" s="214">
        <v>288.10599999999999</v>
      </c>
      <c r="S109" s="214">
        <v>288.10599999999999</v>
      </c>
      <c r="T109" s="214">
        <v>230.23000000000002</v>
      </c>
    </row>
    <row r="110" spans="2:20" s="211" customFormat="1" ht="15.3" x14ac:dyDescent="0.55000000000000004">
      <c r="B110" s="83" t="s">
        <v>513</v>
      </c>
      <c r="C110" s="219">
        <f t="shared" si="21"/>
        <v>0.22</v>
      </c>
      <c r="D110" s="213">
        <v>243.78199999999998</v>
      </c>
      <c r="E110" s="214">
        <v>243.78199999999998</v>
      </c>
      <c r="F110" s="214">
        <v>243.78199999999998</v>
      </c>
      <c r="G110" s="214">
        <v>243.78199999999998</v>
      </c>
      <c r="H110" s="214">
        <v>243.78199999999998</v>
      </c>
      <c r="I110" s="214">
        <v>243.78199999999998</v>
      </c>
      <c r="J110" s="214">
        <v>243.78199999999998</v>
      </c>
      <c r="K110" s="214">
        <v>194.81</v>
      </c>
      <c r="L110" s="214">
        <v>194.81</v>
      </c>
      <c r="M110" s="214">
        <v>243.78199999999998</v>
      </c>
      <c r="N110" s="214">
        <v>243.78199999999998</v>
      </c>
      <c r="O110" s="214">
        <v>243.78199999999998</v>
      </c>
      <c r="P110" s="214">
        <v>243.78199999999998</v>
      </c>
      <c r="Q110" s="214">
        <v>204.35799999999998</v>
      </c>
      <c r="R110" s="214">
        <v>243.78199999999998</v>
      </c>
      <c r="S110" s="214">
        <v>243.78199999999998</v>
      </c>
      <c r="T110" s="214">
        <v>194.81</v>
      </c>
    </row>
    <row r="111" spans="2:20" s="211" customFormat="1" ht="15.3" x14ac:dyDescent="0.55000000000000004">
      <c r="B111" s="83" t="s">
        <v>514</v>
      </c>
      <c r="C111" s="219">
        <f t="shared" si="21"/>
        <v>7.62</v>
      </c>
      <c r="D111" s="213">
        <v>208.02599999999998</v>
      </c>
      <c r="E111" s="214">
        <v>208.02599999999998</v>
      </c>
      <c r="F111" s="214">
        <v>208.02599999999998</v>
      </c>
      <c r="G111" s="214">
        <v>208.02599999999998</v>
      </c>
      <c r="H111" s="214">
        <v>208.02599999999998</v>
      </c>
      <c r="I111" s="214">
        <v>208.02599999999998</v>
      </c>
      <c r="J111" s="214">
        <v>208.02599999999998</v>
      </c>
      <c r="K111" s="214">
        <v>208.02599999999998</v>
      </c>
      <c r="L111" s="214">
        <v>208.02599999999998</v>
      </c>
      <c r="M111" s="214">
        <v>208.02599999999998</v>
      </c>
      <c r="N111" s="214">
        <v>208.02599999999998</v>
      </c>
      <c r="O111" s="214">
        <v>208.02599999999998</v>
      </c>
      <c r="P111" s="214">
        <v>208.02599999999998</v>
      </c>
      <c r="Q111" s="214">
        <v>129.08279999999999</v>
      </c>
      <c r="R111" s="214">
        <v>208.02599999999998</v>
      </c>
      <c r="S111" s="214">
        <v>208.02599999999998</v>
      </c>
      <c r="T111" s="214">
        <v>208.02599999999998</v>
      </c>
    </row>
    <row r="112" spans="2:20" s="211" customFormat="1" ht="15.3" x14ac:dyDescent="0.55000000000000004">
      <c r="B112" s="83" t="s">
        <v>515</v>
      </c>
      <c r="C112" s="219">
        <f t="shared" si="21"/>
        <v>5.59</v>
      </c>
      <c r="D112" s="213">
        <v>177.25889999999998</v>
      </c>
      <c r="E112" s="214">
        <v>177.25889999999998</v>
      </c>
      <c r="F112" s="214">
        <v>177.25889999999998</v>
      </c>
      <c r="G112" s="214">
        <v>177.25889999999998</v>
      </c>
      <c r="H112" s="214">
        <v>177.25889999999998</v>
      </c>
      <c r="I112" s="214">
        <v>177.25889999999998</v>
      </c>
      <c r="J112" s="214">
        <v>177.25889999999998</v>
      </c>
      <c r="K112" s="214">
        <v>177.25889999999998</v>
      </c>
      <c r="L112" s="214">
        <v>177.25889999999998</v>
      </c>
      <c r="M112" s="214">
        <v>177.25889999999998</v>
      </c>
      <c r="N112" s="214">
        <v>177.25889999999998</v>
      </c>
      <c r="O112" s="214">
        <v>177.25889999999998</v>
      </c>
      <c r="P112" s="214">
        <v>177.25889999999998</v>
      </c>
      <c r="Q112" s="214">
        <v>198.78039999999999</v>
      </c>
      <c r="R112" s="214">
        <v>177.25889999999998</v>
      </c>
      <c r="S112" s="214">
        <v>177.25889999999998</v>
      </c>
      <c r="T112" s="214">
        <v>177.25889999999998</v>
      </c>
    </row>
    <row r="113" spans="2:20" s="211" customFormat="1" ht="15.3" x14ac:dyDescent="0.55000000000000004">
      <c r="B113" s="83" t="s">
        <v>516</v>
      </c>
      <c r="C113" s="219">
        <f t="shared" si="21"/>
        <v>0.26</v>
      </c>
      <c r="D113" s="213">
        <v>231.14</v>
      </c>
      <c r="E113" s="214">
        <v>231.14</v>
      </c>
      <c r="F113" s="214">
        <v>231.14</v>
      </c>
      <c r="G113" s="214">
        <v>231.14</v>
      </c>
      <c r="H113" s="214">
        <v>231.14</v>
      </c>
      <c r="I113" s="214">
        <v>231.14</v>
      </c>
      <c r="J113" s="214">
        <v>231.14</v>
      </c>
      <c r="K113" s="214">
        <v>231.14</v>
      </c>
      <c r="L113" s="214">
        <v>231.14</v>
      </c>
      <c r="M113" s="214">
        <v>231.14</v>
      </c>
      <c r="N113" s="214">
        <v>231.14</v>
      </c>
      <c r="O113" s="214">
        <v>231.14</v>
      </c>
      <c r="P113" s="214">
        <v>231.14</v>
      </c>
      <c r="Q113" s="214">
        <v>224.77</v>
      </c>
      <c r="R113" s="214">
        <v>231.14</v>
      </c>
      <c r="S113" s="214">
        <v>231.14</v>
      </c>
      <c r="T113" s="214">
        <v>231.14</v>
      </c>
    </row>
    <row r="114" spans="2:20" s="211" customFormat="1" ht="15.3" x14ac:dyDescent="0.55000000000000004">
      <c r="B114" s="83" t="s">
        <v>517</v>
      </c>
      <c r="C114" s="219">
        <f t="shared" si="21"/>
        <v>0.32</v>
      </c>
      <c r="D114" s="213">
        <v>218.84799999999998</v>
      </c>
      <c r="E114" s="214">
        <v>218.84799999999998</v>
      </c>
      <c r="F114" s="214">
        <v>218.84799999999998</v>
      </c>
      <c r="G114" s="214">
        <v>218.84799999999998</v>
      </c>
      <c r="H114" s="214">
        <v>218.84799999999998</v>
      </c>
      <c r="I114" s="214">
        <v>218.84799999999998</v>
      </c>
      <c r="J114" s="214">
        <v>218.84799999999998</v>
      </c>
      <c r="K114" s="214">
        <v>218.84799999999998</v>
      </c>
      <c r="L114" s="214">
        <v>174.72</v>
      </c>
      <c r="M114" s="214">
        <v>218.84799999999998</v>
      </c>
      <c r="N114" s="214">
        <v>218.84799999999998</v>
      </c>
      <c r="O114" s="214">
        <v>218.84799999999998</v>
      </c>
      <c r="P114" s="214">
        <v>218.84799999999998</v>
      </c>
      <c r="Q114" s="214">
        <v>166.43199999999999</v>
      </c>
      <c r="R114" s="214">
        <v>174.72</v>
      </c>
      <c r="S114" s="214">
        <v>174.72</v>
      </c>
      <c r="T114" s="214">
        <v>174.72</v>
      </c>
    </row>
    <row r="115" spans="2:20" s="211" customFormat="1" ht="15.3" x14ac:dyDescent="0.55000000000000004">
      <c r="B115" s="83" t="s">
        <v>518</v>
      </c>
      <c r="C115" s="219">
        <f t="shared" si="21"/>
        <v>13.93</v>
      </c>
      <c r="D115" s="213">
        <v>157.96619999999999</v>
      </c>
      <c r="E115" s="214">
        <v>157.96619999999999</v>
      </c>
      <c r="F115" s="214">
        <v>157.96619999999999</v>
      </c>
      <c r="G115" s="214">
        <v>157.96619999999999</v>
      </c>
      <c r="H115" s="214">
        <v>157.96619999999999</v>
      </c>
      <c r="I115" s="214">
        <v>157.96619999999999</v>
      </c>
      <c r="J115" s="214">
        <v>157.96619999999999</v>
      </c>
      <c r="K115" s="214">
        <v>157.96619999999999</v>
      </c>
      <c r="L115" s="214">
        <v>157.96619999999999</v>
      </c>
      <c r="M115" s="214">
        <v>157.96619999999999</v>
      </c>
      <c r="N115" s="214">
        <v>157.96619999999999</v>
      </c>
      <c r="O115" s="214">
        <v>157.96619999999999</v>
      </c>
      <c r="P115" s="214">
        <v>157.96619999999999</v>
      </c>
      <c r="Q115" s="214">
        <v>92.634500000000003</v>
      </c>
      <c r="R115" s="214">
        <v>157.96619999999999</v>
      </c>
      <c r="S115" s="214">
        <v>157.96619999999999</v>
      </c>
      <c r="T115" s="214">
        <v>157.96619999999999</v>
      </c>
    </row>
    <row r="116" spans="2:20" s="211" customFormat="1" ht="15.3" x14ac:dyDescent="0.55000000000000004">
      <c r="B116" s="83" t="s">
        <v>519</v>
      </c>
      <c r="C116" s="219">
        <f t="shared" si="21"/>
        <v>0.71</v>
      </c>
      <c r="D116" s="213">
        <v>258.44</v>
      </c>
      <c r="E116" s="214">
        <v>258.44</v>
      </c>
      <c r="F116" s="214">
        <v>258.44</v>
      </c>
      <c r="G116" s="214">
        <v>258.44</v>
      </c>
      <c r="H116" s="214">
        <v>258.44</v>
      </c>
      <c r="I116" s="214">
        <v>258.44</v>
      </c>
      <c r="J116" s="214">
        <v>258.44</v>
      </c>
      <c r="K116" s="214">
        <v>258.44</v>
      </c>
      <c r="L116" s="214">
        <v>258.44</v>
      </c>
      <c r="M116" s="214">
        <v>258.44</v>
      </c>
      <c r="N116" s="214">
        <v>258.44</v>
      </c>
      <c r="O116" s="214">
        <v>258.44</v>
      </c>
      <c r="P116" s="214">
        <v>258.44</v>
      </c>
      <c r="Q116" s="214">
        <v>258.44</v>
      </c>
      <c r="R116" s="214">
        <v>258.44</v>
      </c>
      <c r="S116" s="214">
        <v>258.44</v>
      </c>
      <c r="T116" s="214">
        <v>258.44</v>
      </c>
    </row>
    <row r="117" spans="2:20" s="211" customFormat="1" ht="12.3" x14ac:dyDescent="0.4"/>
    <row r="118" spans="2:20" s="211" customFormat="1" ht="15" x14ac:dyDescent="0.5">
      <c r="B118" s="54" t="s">
        <v>505</v>
      </c>
      <c r="C118" s="57">
        <f>C78</f>
        <v>0</v>
      </c>
      <c r="D118" s="217" t="s">
        <v>506</v>
      </c>
    </row>
    <row r="119" spans="2:20" s="211" customFormat="1" ht="15" x14ac:dyDescent="0.5">
      <c r="C119" s="57" t="s">
        <v>486</v>
      </c>
      <c r="D119" s="218" t="s">
        <v>487</v>
      </c>
      <c r="E119" s="218" t="s">
        <v>488</v>
      </c>
      <c r="F119" s="218" t="s">
        <v>489</v>
      </c>
      <c r="G119" s="218" t="s">
        <v>490</v>
      </c>
      <c r="H119" s="218" t="s">
        <v>491</v>
      </c>
      <c r="I119" s="218" t="s">
        <v>492</v>
      </c>
      <c r="J119" s="218" t="s">
        <v>493</v>
      </c>
      <c r="K119" s="218" t="s">
        <v>494</v>
      </c>
      <c r="L119" s="218" t="s">
        <v>495</v>
      </c>
      <c r="M119" s="218" t="s">
        <v>496</v>
      </c>
      <c r="N119" s="218" t="s">
        <v>497</v>
      </c>
      <c r="O119" s="218" t="s">
        <v>498</v>
      </c>
      <c r="P119" s="218" t="s">
        <v>499</v>
      </c>
      <c r="Q119" s="218" t="s">
        <v>500</v>
      </c>
      <c r="R119" s="218" t="s">
        <v>501</v>
      </c>
      <c r="S119" s="218" t="s">
        <v>502</v>
      </c>
      <c r="T119" s="218" t="s">
        <v>503</v>
      </c>
    </row>
    <row r="120" spans="2:20" s="211" customFormat="1" ht="15.3" x14ac:dyDescent="0.55000000000000004">
      <c r="B120" s="83" t="s">
        <v>412</v>
      </c>
      <c r="C120" s="219">
        <f>C80</f>
        <v>0</v>
      </c>
      <c r="D120" s="213">
        <v>199.83150000000001</v>
      </c>
      <c r="E120" s="214">
        <v>151.37100000000001</v>
      </c>
      <c r="F120" s="214">
        <v>188.39700000000002</v>
      </c>
      <c r="G120" s="214">
        <v>169.88400000000001</v>
      </c>
      <c r="H120" s="214">
        <v>193.84200000000001</v>
      </c>
      <c r="I120" s="214">
        <v>213.98849999999999</v>
      </c>
      <c r="J120" s="214">
        <v>185.67450000000002</v>
      </c>
      <c r="K120" s="214">
        <v>178.596</v>
      </c>
      <c r="L120" s="214">
        <v>200.9205</v>
      </c>
      <c r="M120" s="214">
        <v>190.57500000000002</v>
      </c>
      <c r="N120" s="214">
        <v>205.821</v>
      </c>
      <c r="O120" s="214">
        <v>178.596</v>
      </c>
      <c r="P120" s="214">
        <v>211.26599999999999</v>
      </c>
      <c r="Q120" s="214">
        <v>168.79500000000002</v>
      </c>
      <c r="R120" s="214">
        <v>142.65899999999999</v>
      </c>
      <c r="S120" s="214">
        <v>155.1825</v>
      </c>
      <c r="T120" s="214">
        <v>153.00450000000001</v>
      </c>
    </row>
    <row r="121" spans="2:20" s="211" customFormat="1" ht="15.3" x14ac:dyDescent="0.55000000000000004">
      <c r="B121" s="83" t="s">
        <v>411</v>
      </c>
      <c r="C121" s="219">
        <f t="shared" ref="C121:C136" si="22">C81</f>
        <v>0</v>
      </c>
      <c r="D121" s="213">
        <v>152.50925000000001</v>
      </c>
      <c r="E121" s="214">
        <v>120.19199999999999</v>
      </c>
      <c r="F121" s="214">
        <v>140.85</v>
      </c>
      <c r="G121" s="214">
        <v>130.83399999999997</v>
      </c>
      <c r="H121" s="214">
        <v>143.97999999999999</v>
      </c>
      <c r="I121" s="214">
        <v>156.5</v>
      </c>
      <c r="J121" s="214">
        <v>139.285</v>
      </c>
      <c r="K121" s="214">
        <v>136.155</v>
      </c>
      <c r="L121" s="214">
        <v>158.691</v>
      </c>
      <c r="M121" s="214">
        <v>143.667</v>
      </c>
      <c r="N121" s="214">
        <v>165.26399999999998</v>
      </c>
      <c r="O121" s="214">
        <v>144.29300000000001</v>
      </c>
      <c r="P121" s="214">
        <v>173.40199999999999</v>
      </c>
      <c r="Q121" s="214">
        <v>146.797</v>
      </c>
      <c r="R121" s="214">
        <v>121.131</v>
      </c>
      <c r="S121" s="214">
        <v>122.696</v>
      </c>
      <c r="T121" s="214">
        <v>121.44399999999999</v>
      </c>
    </row>
    <row r="122" spans="2:20" s="211" customFormat="1" ht="15.3" x14ac:dyDescent="0.55000000000000004">
      <c r="B122" s="83" t="s">
        <v>485</v>
      </c>
      <c r="C122" s="219">
        <f t="shared" si="22"/>
        <v>0</v>
      </c>
      <c r="D122" s="213">
        <v>166.34474999999998</v>
      </c>
      <c r="E122" s="214">
        <v>131.05950000000001</v>
      </c>
      <c r="F122" s="214">
        <v>153.54900000000001</v>
      </c>
      <c r="G122" s="214">
        <v>142.69200000000001</v>
      </c>
      <c r="H122" s="214">
        <v>156.90950000000001</v>
      </c>
      <c r="I122" s="214">
        <v>170.60999999999999</v>
      </c>
      <c r="J122" s="214">
        <v>151.99799999999999</v>
      </c>
      <c r="K122" s="214">
        <v>148.37899999999999</v>
      </c>
      <c r="L122" s="214">
        <v>172.93650000000002</v>
      </c>
      <c r="M122" s="214">
        <v>156.65100000000001</v>
      </c>
      <c r="N122" s="214">
        <v>181.72549999999998</v>
      </c>
      <c r="O122" s="214">
        <v>157.4265</v>
      </c>
      <c r="P122" s="214">
        <v>189.22200000000001</v>
      </c>
      <c r="Q122" s="214">
        <v>160.01149999999998</v>
      </c>
      <c r="R122" s="214">
        <v>132.09350000000001</v>
      </c>
      <c r="S122" s="214">
        <v>133.64449999999999</v>
      </c>
      <c r="T122" s="214">
        <v>135.45400000000001</v>
      </c>
    </row>
    <row r="123" spans="2:20" s="211" customFormat="1" ht="15.3" x14ac:dyDescent="0.55000000000000004">
      <c r="B123" s="83" t="s">
        <v>413</v>
      </c>
      <c r="C123" s="219">
        <f t="shared" si="22"/>
        <v>2016</v>
      </c>
      <c r="D123" s="213">
        <v>143.57</v>
      </c>
      <c r="E123" s="214">
        <v>141.12</v>
      </c>
      <c r="F123" s="214">
        <v>141.12</v>
      </c>
      <c r="G123" s="214">
        <v>141.12</v>
      </c>
      <c r="H123" s="214">
        <v>148.96</v>
      </c>
      <c r="I123" s="214">
        <v>148.96</v>
      </c>
      <c r="J123" s="214">
        <v>117.60000000000001</v>
      </c>
      <c r="K123" s="214">
        <v>117.60000000000001</v>
      </c>
      <c r="L123" s="214">
        <v>117.60000000000001</v>
      </c>
      <c r="M123" s="214">
        <v>141.12</v>
      </c>
      <c r="N123" s="214">
        <v>148.96</v>
      </c>
      <c r="O123" s="214">
        <v>148.96</v>
      </c>
      <c r="P123" s="214">
        <v>166.60000000000002</v>
      </c>
      <c r="Q123" s="214">
        <v>148.96</v>
      </c>
      <c r="R123" s="214">
        <v>148.96</v>
      </c>
      <c r="S123" s="214">
        <v>148.96</v>
      </c>
      <c r="T123" s="214">
        <v>117.60000000000001</v>
      </c>
    </row>
    <row r="124" spans="2:20" s="211" customFormat="1" ht="15.3" x14ac:dyDescent="0.55000000000000004">
      <c r="B124" s="83" t="s">
        <v>507</v>
      </c>
      <c r="C124" s="219">
        <f t="shared" si="22"/>
        <v>4.1399999999999997</v>
      </c>
      <c r="D124" s="213">
        <v>139.36275000000001</v>
      </c>
      <c r="E124" s="214">
        <v>94.184999999999988</v>
      </c>
      <c r="F124" s="214">
        <v>138.89699999999999</v>
      </c>
      <c r="G124" s="214">
        <v>108.46799999999999</v>
      </c>
      <c r="H124" s="214">
        <v>126.47699999999999</v>
      </c>
      <c r="I124" s="214">
        <v>144.07199999999997</v>
      </c>
      <c r="J124" s="214">
        <v>122.544</v>
      </c>
      <c r="K124" s="214">
        <v>117.78299999999999</v>
      </c>
      <c r="L124" s="214">
        <v>107.84699999999999</v>
      </c>
      <c r="M124" s="214">
        <v>122.75099999999999</v>
      </c>
      <c r="N124" s="214">
        <v>111.36599999999999</v>
      </c>
      <c r="O124" s="214">
        <v>137.86199999999997</v>
      </c>
      <c r="P124" s="214">
        <v>151.93799999999999</v>
      </c>
      <c r="Q124" s="214">
        <v>133.929</v>
      </c>
      <c r="R124" s="214">
        <v>107.43299999999999</v>
      </c>
      <c r="S124" s="214">
        <v>102.879</v>
      </c>
      <c r="T124" s="214">
        <v>105.15599999999999</v>
      </c>
    </row>
    <row r="125" spans="2:20" s="211" customFormat="1" ht="15.3" x14ac:dyDescent="0.55000000000000004">
      <c r="B125" s="83" t="s">
        <v>508</v>
      </c>
      <c r="C125" s="219">
        <f t="shared" si="22"/>
        <v>2.85</v>
      </c>
      <c r="D125" s="213">
        <v>136.51500000000001</v>
      </c>
      <c r="E125" s="214">
        <v>110.01</v>
      </c>
      <c r="F125" s="214">
        <v>133.52250000000001</v>
      </c>
      <c r="G125" s="214">
        <v>102.74249999999999</v>
      </c>
      <c r="H125" s="214">
        <v>119.8425</v>
      </c>
      <c r="I125" s="214">
        <v>138.51000000000002</v>
      </c>
      <c r="J125" s="214">
        <v>119.55750000000002</v>
      </c>
      <c r="K125" s="214">
        <v>119.7</v>
      </c>
      <c r="L125" s="214">
        <v>121.2675</v>
      </c>
      <c r="M125" s="214">
        <v>119.8425</v>
      </c>
      <c r="N125" s="214">
        <v>123.97500000000001</v>
      </c>
      <c r="O125" s="214">
        <v>132.24</v>
      </c>
      <c r="P125" s="214">
        <v>154.47</v>
      </c>
      <c r="Q125" s="214">
        <v>138.79500000000002</v>
      </c>
      <c r="R125" s="214">
        <v>101.46000000000001</v>
      </c>
      <c r="S125" s="214">
        <v>116.42250000000001</v>
      </c>
      <c r="T125" s="214">
        <v>96.045000000000016</v>
      </c>
    </row>
    <row r="126" spans="2:20" s="211" customFormat="1" ht="15.3" x14ac:dyDescent="0.55000000000000004">
      <c r="B126" s="83" t="s">
        <v>509</v>
      </c>
      <c r="C126" s="219">
        <f t="shared" si="22"/>
        <v>4.83</v>
      </c>
      <c r="D126" s="213">
        <v>209.50125000000003</v>
      </c>
      <c r="E126" s="214">
        <v>185.95500000000001</v>
      </c>
      <c r="F126" s="214">
        <v>185.95500000000001</v>
      </c>
      <c r="G126" s="214">
        <v>185.95500000000001</v>
      </c>
      <c r="H126" s="214">
        <v>238.119</v>
      </c>
      <c r="I126" s="214">
        <v>238.119</v>
      </c>
      <c r="J126" s="214">
        <v>131.376</v>
      </c>
      <c r="K126" s="214">
        <v>131.376</v>
      </c>
      <c r="L126" s="214">
        <v>131.376</v>
      </c>
      <c r="M126" s="214">
        <v>185.95500000000001</v>
      </c>
      <c r="N126" s="214">
        <v>238.119</v>
      </c>
      <c r="O126" s="214">
        <v>238.119</v>
      </c>
      <c r="P126" s="214">
        <v>282.55500000000001</v>
      </c>
      <c r="Q126" s="214">
        <v>238.119</v>
      </c>
      <c r="R126" s="214">
        <v>238.119</v>
      </c>
      <c r="S126" s="214">
        <v>238.119</v>
      </c>
      <c r="T126" s="214">
        <v>131.376</v>
      </c>
    </row>
    <row r="127" spans="2:20" s="211" customFormat="1" ht="15.3" x14ac:dyDescent="0.55000000000000004">
      <c r="B127" s="83" t="s">
        <v>510</v>
      </c>
      <c r="C127" s="219">
        <f t="shared" si="22"/>
        <v>0.28999999999999998</v>
      </c>
      <c r="D127" s="213">
        <v>206.80624999999998</v>
      </c>
      <c r="E127" s="214">
        <v>217.35499999999999</v>
      </c>
      <c r="F127" s="214">
        <v>217.35499999999999</v>
      </c>
      <c r="G127" s="214">
        <v>217.35499999999999</v>
      </c>
      <c r="H127" s="214">
        <v>217.35499999999999</v>
      </c>
      <c r="I127" s="214">
        <v>217.35499999999999</v>
      </c>
      <c r="J127" s="214">
        <v>173.85499999999999</v>
      </c>
      <c r="K127" s="214">
        <v>173.85499999999999</v>
      </c>
      <c r="L127" s="214">
        <v>173.85499999999999</v>
      </c>
      <c r="M127" s="214">
        <v>217.35499999999999</v>
      </c>
      <c r="N127" s="214">
        <v>218.66</v>
      </c>
      <c r="O127" s="214">
        <v>218.66</v>
      </c>
      <c r="P127" s="214">
        <v>218.66</v>
      </c>
      <c r="Q127" s="214">
        <v>169.07</v>
      </c>
      <c r="R127" s="214">
        <v>217.35499999999999</v>
      </c>
      <c r="S127" s="214">
        <v>217.35499999999999</v>
      </c>
      <c r="T127" s="214">
        <v>173.85499999999999</v>
      </c>
    </row>
    <row r="128" spans="2:20" s="211" customFormat="1" ht="15.3" x14ac:dyDescent="0.55000000000000004">
      <c r="B128" s="83" t="s">
        <v>511</v>
      </c>
      <c r="C128" s="219">
        <f t="shared" si="22"/>
        <v>12.45</v>
      </c>
      <c r="D128" s="213">
        <v>143.01937499999997</v>
      </c>
      <c r="E128" s="214">
        <v>110.80499999999999</v>
      </c>
      <c r="F128" s="214">
        <v>137.57249999999999</v>
      </c>
      <c r="G128" s="214">
        <v>129.47999999999999</v>
      </c>
      <c r="H128" s="214">
        <v>146.28749999999999</v>
      </c>
      <c r="I128" s="214">
        <v>155.00249999999997</v>
      </c>
      <c r="J128" s="214">
        <v>142.55249999999998</v>
      </c>
      <c r="K128" s="214">
        <v>139.43999999999997</v>
      </c>
      <c r="L128" s="214">
        <v>149.39999999999998</v>
      </c>
      <c r="M128" s="214">
        <v>117.03</v>
      </c>
      <c r="N128" s="214">
        <v>130.10249999999999</v>
      </c>
      <c r="O128" s="214">
        <v>123.87749999999998</v>
      </c>
      <c r="P128" s="214">
        <v>136.94999999999999</v>
      </c>
      <c r="Q128" s="214">
        <v>118.89750000000001</v>
      </c>
      <c r="R128" s="214">
        <v>93.997499999999988</v>
      </c>
      <c r="S128" s="214">
        <v>92.752499999999998</v>
      </c>
      <c r="T128" s="214">
        <v>135.08249999999998</v>
      </c>
    </row>
    <row r="129" spans="2:20" s="211" customFormat="1" ht="15.3" x14ac:dyDescent="0.55000000000000004">
      <c r="B129" s="83" t="s">
        <v>512</v>
      </c>
      <c r="C129" s="219">
        <f t="shared" si="22"/>
        <v>0.26</v>
      </c>
      <c r="D129" s="213">
        <v>205.79000000000002</v>
      </c>
      <c r="E129" s="214">
        <v>205.79000000000002</v>
      </c>
      <c r="F129" s="214">
        <v>205.79000000000002</v>
      </c>
      <c r="G129" s="214">
        <v>205.79000000000002</v>
      </c>
      <c r="H129" s="214">
        <v>205.79000000000002</v>
      </c>
      <c r="I129" s="214">
        <v>205.79000000000002</v>
      </c>
      <c r="J129" s="214">
        <v>205.79000000000002</v>
      </c>
      <c r="K129" s="214">
        <v>164.45000000000002</v>
      </c>
      <c r="L129" s="214">
        <v>164.45000000000002</v>
      </c>
      <c r="M129" s="214">
        <v>205.79000000000002</v>
      </c>
      <c r="N129" s="214">
        <v>205.79000000000002</v>
      </c>
      <c r="O129" s="214">
        <v>205.79000000000002</v>
      </c>
      <c r="P129" s="214">
        <v>205.79000000000002</v>
      </c>
      <c r="Q129" s="214">
        <v>172.51000000000002</v>
      </c>
      <c r="R129" s="214">
        <v>205.79000000000002</v>
      </c>
      <c r="S129" s="214">
        <v>205.79000000000002</v>
      </c>
      <c r="T129" s="214">
        <v>164.45000000000002</v>
      </c>
    </row>
    <row r="130" spans="2:20" s="211" customFormat="1" ht="15.3" x14ac:dyDescent="0.55000000000000004">
      <c r="B130" s="83" t="s">
        <v>513</v>
      </c>
      <c r="C130" s="219">
        <f t="shared" si="22"/>
        <v>0.22</v>
      </c>
      <c r="D130" s="213">
        <v>174.13</v>
      </c>
      <c r="E130" s="214">
        <v>174.13</v>
      </c>
      <c r="F130" s="214">
        <v>174.13</v>
      </c>
      <c r="G130" s="214">
        <v>174.13</v>
      </c>
      <c r="H130" s="214">
        <v>174.13</v>
      </c>
      <c r="I130" s="214">
        <v>174.13</v>
      </c>
      <c r="J130" s="214">
        <v>174.13</v>
      </c>
      <c r="K130" s="214">
        <v>139.15</v>
      </c>
      <c r="L130" s="214">
        <v>139.15</v>
      </c>
      <c r="M130" s="214">
        <v>174.13</v>
      </c>
      <c r="N130" s="214">
        <v>174.13</v>
      </c>
      <c r="O130" s="214">
        <v>174.13</v>
      </c>
      <c r="P130" s="214">
        <v>174.13</v>
      </c>
      <c r="Q130" s="214">
        <v>145.97</v>
      </c>
      <c r="R130" s="214">
        <v>174.13</v>
      </c>
      <c r="S130" s="214">
        <v>174.13</v>
      </c>
      <c r="T130" s="214">
        <v>139.15</v>
      </c>
    </row>
    <row r="131" spans="2:20" s="211" customFormat="1" ht="15.3" x14ac:dyDescent="0.55000000000000004">
      <c r="B131" s="83" t="s">
        <v>514</v>
      </c>
      <c r="C131" s="219">
        <f t="shared" si="22"/>
        <v>7.62</v>
      </c>
      <c r="D131" s="213">
        <v>148.59</v>
      </c>
      <c r="E131" s="214">
        <v>148.59</v>
      </c>
      <c r="F131" s="214">
        <v>148.59</v>
      </c>
      <c r="G131" s="214">
        <v>148.59</v>
      </c>
      <c r="H131" s="214">
        <v>148.59</v>
      </c>
      <c r="I131" s="214">
        <v>148.59</v>
      </c>
      <c r="J131" s="214">
        <v>148.59</v>
      </c>
      <c r="K131" s="214">
        <v>148.59</v>
      </c>
      <c r="L131" s="214">
        <v>148.59</v>
      </c>
      <c r="M131" s="214">
        <v>148.59</v>
      </c>
      <c r="N131" s="214">
        <v>148.59</v>
      </c>
      <c r="O131" s="214">
        <v>148.59</v>
      </c>
      <c r="P131" s="214">
        <v>148.59</v>
      </c>
      <c r="Q131" s="214">
        <v>92.201999999999998</v>
      </c>
      <c r="R131" s="214">
        <v>148.59</v>
      </c>
      <c r="S131" s="214">
        <v>148.59</v>
      </c>
      <c r="T131" s="214">
        <v>148.59</v>
      </c>
    </row>
    <row r="132" spans="2:20" s="211" customFormat="1" ht="15.3" x14ac:dyDescent="0.55000000000000004">
      <c r="B132" s="83" t="s">
        <v>515</v>
      </c>
      <c r="C132" s="219">
        <f t="shared" si="22"/>
        <v>5.59</v>
      </c>
      <c r="D132" s="213">
        <v>126.61349999999999</v>
      </c>
      <c r="E132" s="214">
        <v>126.61349999999999</v>
      </c>
      <c r="F132" s="214">
        <v>126.61349999999999</v>
      </c>
      <c r="G132" s="214">
        <v>126.61349999999999</v>
      </c>
      <c r="H132" s="214">
        <v>126.61349999999999</v>
      </c>
      <c r="I132" s="214">
        <v>126.61349999999999</v>
      </c>
      <c r="J132" s="214">
        <v>126.61349999999999</v>
      </c>
      <c r="K132" s="214">
        <v>126.61349999999999</v>
      </c>
      <c r="L132" s="214">
        <v>126.61349999999999</v>
      </c>
      <c r="M132" s="214">
        <v>126.61349999999999</v>
      </c>
      <c r="N132" s="214">
        <v>126.61349999999999</v>
      </c>
      <c r="O132" s="214">
        <v>126.61349999999999</v>
      </c>
      <c r="P132" s="214">
        <v>126.61349999999999</v>
      </c>
      <c r="Q132" s="214">
        <v>141.98599999999999</v>
      </c>
      <c r="R132" s="214">
        <v>126.61349999999999</v>
      </c>
      <c r="S132" s="214">
        <v>126.61349999999999</v>
      </c>
      <c r="T132" s="214">
        <v>126.61349999999999</v>
      </c>
    </row>
    <row r="133" spans="2:20" s="211" customFormat="1" ht="15.3" x14ac:dyDescent="0.55000000000000004">
      <c r="B133" s="83" t="s">
        <v>516</v>
      </c>
      <c r="C133" s="219">
        <f t="shared" si="22"/>
        <v>0.26</v>
      </c>
      <c r="D133" s="213">
        <v>165.1</v>
      </c>
      <c r="E133" s="214">
        <v>165.1</v>
      </c>
      <c r="F133" s="214">
        <v>165.1</v>
      </c>
      <c r="G133" s="214">
        <v>165.1</v>
      </c>
      <c r="H133" s="214">
        <v>165.1</v>
      </c>
      <c r="I133" s="214">
        <v>165.1</v>
      </c>
      <c r="J133" s="214">
        <v>165.1</v>
      </c>
      <c r="K133" s="214">
        <v>165.1</v>
      </c>
      <c r="L133" s="214">
        <v>165.1</v>
      </c>
      <c r="M133" s="214">
        <v>165.1</v>
      </c>
      <c r="N133" s="214">
        <v>165.1</v>
      </c>
      <c r="O133" s="214">
        <v>165.1</v>
      </c>
      <c r="P133" s="214">
        <v>165.1</v>
      </c>
      <c r="Q133" s="214">
        <v>160.55000000000001</v>
      </c>
      <c r="R133" s="214">
        <v>165.1</v>
      </c>
      <c r="S133" s="214">
        <v>165.1</v>
      </c>
      <c r="T133" s="214">
        <v>165.1</v>
      </c>
    </row>
    <row r="134" spans="2:20" s="211" customFormat="1" ht="15.3" x14ac:dyDescent="0.55000000000000004">
      <c r="B134" s="83" t="s">
        <v>517</v>
      </c>
      <c r="C134" s="219">
        <f t="shared" si="22"/>
        <v>0.32</v>
      </c>
      <c r="D134" s="213">
        <v>156.32</v>
      </c>
      <c r="E134" s="214">
        <v>156.32</v>
      </c>
      <c r="F134" s="214">
        <v>156.32</v>
      </c>
      <c r="G134" s="214">
        <v>156.32</v>
      </c>
      <c r="H134" s="214">
        <v>156.32</v>
      </c>
      <c r="I134" s="214">
        <v>156.32</v>
      </c>
      <c r="J134" s="214">
        <v>156.32</v>
      </c>
      <c r="K134" s="214">
        <v>156.32</v>
      </c>
      <c r="L134" s="214">
        <v>124.8</v>
      </c>
      <c r="M134" s="214">
        <v>156.32</v>
      </c>
      <c r="N134" s="214">
        <v>156.32</v>
      </c>
      <c r="O134" s="214">
        <v>156.32</v>
      </c>
      <c r="P134" s="214">
        <v>156.32</v>
      </c>
      <c r="Q134" s="214">
        <v>118.88</v>
      </c>
      <c r="R134" s="214">
        <v>124.8</v>
      </c>
      <c r="S134" s="214">
        <v>124.8</v>
      </c>
      <c r="T134" s="214">
        <v>124.8</v>
      </c>
    </row>
    <row r="135" spans="2:20" s="211" customFormat="1" ht="15.3" x14ac:dyDescent="0.55000000000000004">
      <c r="B135" s="83" t="s">
        <v>518</v>
      </c>
      <c r="C135" s="219">
        <f t="shared" si="22"/>
        <v>13.93</v>
      </c>
      <c r="D135" s="213">
        <v>112.833</v>
      </c>
      <c r="E135" s="214">
        <v>112.833</v>
      </c>
      <c r="F135" s="214">
        <v>112.833</v>
      </c>
      <c r="G135" s="214">
        <v>112.833</v>
      </c>
      <c r="H135" s="214">
        <v>112.833</v>
      </c>
      <c r="I135" s="214">
        <v>112.833</v>
      </c>
      <c r="J135" s="214">
        <v>112.833</v>
      </c>
      <c r="K135" s="214">
        <v>112.833</v>
      </c>
      <c r="L135" s="214">
        <v>112.833</v>
      </c>
      <c r="M135" s="214">
        <v>112.833</v>
      </c>
      <c r="N135" s="214">
        <v>112.833</v>
      </c>
      <c r="O135" s="214">
        <v>112.833</v>
      </c>
      <c r="P135" s="214">
        <v>112.833</v>
      </c>
      <c r="Q135" s="214">
        <v>66.167500000000004</v>
      </c>
      <c r="R135" s="214">
        <v>112.833</v>
      </c>
      <c r="S135" s="214">
        <v>112.833</v>
      </c>
      <c r="T135" s="214">
        <v>112.833</v>
      </c>
    </row>
    <row r="136" spans="2:20" s="211" customFormat="1" ht="15.3" x14ac:dyDescent="0.55000000000000004">
      <c r="B136" s="83" t="s">
        <v>519</v>
      </c>
      <c r="C136" s="219">
        <f t="shared" si="22"/>
        <v>0.71</v>
      </c>
      <c r="D136" s="213">
        <v>184.6</v>
      </c>
      <c r="E136" s="214">
        <v>184.6</v>
      </c>
      <c r="F136" s="214">
        <v>184.6</v>
      </c>
      <c r="G136" s="214">
        <v>184.6</v>
      </c>
      <c r="H136" s="214">
        <v>184.6</v>
      </c>
      <c r="I136" s="214">
        <v>184.6</v>
      </c>
      <c r="J136" s="214">
        <v>184.6</v>
      </c>
      <c r="K136" s="214">
        <v>184.6</v>
      </c>
      <c r="L136" s="214">
        <v>184.6</v>
      </c>
      <c r="M136" s="214">
        <v>184.6</v>
      </c>
      <c r="N136" s="214">
        <v>184.6</v>
      </c>
      <c r="O136" s="214">
        <v>184.6</v>
      </c>
      <c r="P136" s="214">
        <v>184.6</v>
      </c>
      <c r="Q136" s="214">
        <v>184.6</v>
      </c>
      <c r="R136" s="214">
        <v>184.6</v>
      </c>
      <c r="S136" s="214">
        <v>184.6</v>
      </c>
      <c r="T136" s="214">
        <v>184.6</v>
      </c>
    </row>
    <row r="138" spans="2:20" s="211" customFormat="1" ht="15" x14ac:dyDescent="0.5">
      <c r="C138" s="57" t="s">
        <v>520</v>
      </c>
    </row>
    <row r="139" spans="2:20" s="215" customFormat="1" ht="15" x14ac:dyDescent="0.5">
      <c r="B139" s="218" t="s">
        <v>521</v>
      </c>
      <c r="C139" s="218" t="s">
        <v>487</v>
      </c>
      <c r="D139" s="218" t="s">
        <v>488</v>
      </c>
      <c r="E139" s="218" t="s">
        <v>489</v>
      </c>
      <c r="F139" s="218" t="s">
        <v>490</v>
      </c>
      <c r="G139" s="218" t="s">
        <v>491</v>
      </c>
      <c r="H139" s="218" t="s">
        <v>492</v>
      </c>
      <c r="I139" s="218" t="s">
        <v>493</v>
      </c>
      <c r="J139" s="218" t="s">
        <v>494</v>
      </c>
      <c r="K139" s="218" t="s">
        <v>495</v>
      </c>
      <c r="L139" s="218" t="s">
        <v>496</v>
      </c>
      <c r="M139" s="218" t="s">
        <v>497</v>
      </c>
      <c r="N139" s="218" t="s">
        <v>498</v>
      </c>
      <c r="O139" s="218" t="s">
        <v>499</v>
      </c>
      <c r="P139" s="218" t="s">
        <v>500</v>
      </c>
      <c r="Q139" s="218" t="s">
        <v>501</v>
      </c>
      <c r="R139" s="218" t="s">
        <v>502</v>
      </c>
      <c r="S139" s="218" t="s">
        <v>503</v>
      </c>
      <c r="T139" s="220" t="s">
        <v>522</v>
      </c>
    </row>
    <row r="140" spans="2:20" s="211" customFormat="1" ht="15" x14ac:dyDescent="0.5">
      <c r="B140" s="221" t="s">
        <v>412</v>
      </c>
      <c r="C140" s="222">
        <v>40</v>
      </c>
      <c r="D140" s="223">
        <v>27.8</v>
      </c>
      <c r="E140" s="223">
        <v>34.6</v>
      </c>
      <c r="F140" s="223">
        <v>31.2</v>
      </c>
      <c r="G140" s="223">
        <v>35.6</v>
      </c>
      <c r="H140" s="223">
        <v>39.299999999999997</v>
      </c>
      <c r="I140" s="223">
        <v>34.1</v>
      </c>
      <c r="J140" s="223">
        <v>32.799999999999997</v>
      </c>
      <c r="K140" s="223">
        <v>36.9</v>
      </c>
      <c r="L140" s="223">
        <v>35</v>
      </c>
      <c r="M140" s="223">
        <v>37.799999999999997</v>
      </c>
      <c r="N140" s="223">
        <v>32.799999999999997</v>
      </c>
      <c r="O140" s="223">
        <v>38.799999999999997</v>
      </c>
      <c r="P140" s="223">
        <v>31</v>
      </c>
      <c r="Q140" s="223">
        <v>26.2</v>
      </c>
      <c r="R140" s="223">
        <v>28.5</v>
      </c>
      <c r="S140" s="223">
        <v>28.1</v>
      </c>
      <c r="T140" s="224">
        <v>33.15625</v>
      </c>
    </row>
    <row r="141" spans="2:20" s="211" customFormat="1" ht="15" x14ac:dyDescent="0.5">
      <c r="B141" s="221" t="s">
        <v>411</v>
      </c>
      <c r="C141" s="222">
        <v>55</v>
      </c>
      <c r="D141" s="223">
        <v>38.4</v>
      </c>
      <c r="E141" s="223">
        <v>45</v>
      </c>
      <c r="F141" s="223">
        <v>41.8</v>
      </c>
      <c r="G141" s="223">
        <v>46</v>
      </c>
      <c r="H141" s="223">
        <v>50</v>
      </c>
      <c r="I141" s="223">
        <v>44.5</v>
      </c>
      <c r="J141" s="223">
        <v>43.5</v>
      </c>
      <c r="K141" s="223">
        <v>50.7</v>
      </c>
      <c r="L141" s="223">
        <v>45.9</v>
      </c>
      <c r="M141" s="223">
        <v>52.8</v>
      </c>
      <c r="N141" s="223">
        <v>46.1</v>
      </c>
      <c r="O141" s="223">
        <v>55.4</v>
      </c>
      <c r="P141" s="223">
        <v>46.9</v>
      </c>
      <c r="Q141" s="223">
        <v>38.700000000000003</v>
      </c>
      <c r="R141" s="223">
        <v>39.200000000000003</v>
      </c>
      <c r="S141" s="223">
        <v>38.799999999999997</v>
      </c>
      <c r="T141" s="224">
        <v>45.231250000000003</v>
      </c>
    </row>
    <row r="142" spans="2:20" s="211" customFormat="1" ht="15" x14ac:dyDescent="0.5">
      <c r="B142" s="221" t="s">
        <v>485</v>
      </c>
      <c r="C142" s="222">
        <v>75</v>
      </c>
      <c r="D142" s="223">
        <v>50.7</v>
      </c>
      <c r="E142" s="223">
        <v>59.4</v>
      </c>
      <c r="F142" s="223">
        <v>55.2</v>
      </c>
      <c r="G142" s="223">
        <v>60.7</v>
      </c>
      <c r="H142" s="223">
        <v>66</v>
      </c>
      <c r="I142" s="223">
        <v>58.8</v>
      </c>
      <c r="J142" s="223">
        <v>57.4</v>
      </c>
      <c r="K142" s="223">
        <v>66.900000000000006</v>
      </c>
      <c r="L142" s="223">
        <v>60.6</v>
      </c>
      <c r="M142" s="223">
        <v>70.3</v>
      </c>
      <c r="N142" s="223">
        <v>60.9</v>
      </c>
      <c r="O142" s="223">
        <v>73.2</v>
      </c>
      <c r="P142" s="223">
        <v>61.9</v>
      </c>
      <c r="Q142" s="223">
        <v>51.1</v>
      </c>
      <c r="R142" s="223">
        <v>51.7</v>
      </c>
      <c r="S142" s="223">
        <v>52.4</v>
      </c>
      <c r="T142" s="224">
        <v>59.825000000000003</v>
      </c>
    </row>
    <row r="143" spans="2:20" s="211" customFormat="1" ht="15" x14ac:dyDescent="0.5">
      <c r="B143" s="221" t="s">
        <v>413</v>
      </c>
      <c r="C143" s="222">
        <v>35</v>
      </c>
      <c r="D143" s="223">
        <v>28.8</v>
      </c>
      <c r="E143" s="223">
        <v>28.8</v>
      </c>
      <c r="F143" s="223">
        <v>28.8</v>
      </c>
      <c r="G143" s="223">
        <v>30.4</v>
      </c>
      <c r="H143" s="223">
        <v>30.4</v>
      </c>
      <c r="I143" s="223">
        <v>24</v>
      </c>
      <c r="J143" s="223">
        <v>24</v>
      </c>
      <c r="K143" s="223">
        <v>24</v>
      </c>
      <c r="L143" s="223">
        <v>28.8</v>
      </c>
      <c r="M143" s="223">
        <v>30.4</v>
      </c>
      <c r="N143" s="223">
        <v>30.4</v>
      </c>
      <c r="O143" s="223">
        <v>34</v>
      </c>
      <c r="P143" s="223">
        <v>30.4</v>
      </c>
      <c r="Q143" s="223">
        <v>30.4</v>
      </c>
      <c r="R143" s="223">
        <v>30.4</v>
      </c>
      <c r="S143" s="223">
        <v>24</v>
      </c>
      <c r="T143" s="224">
        <v>28.624999999999996</v>
      </c>
    </row>
    <row r="144" spans="2:20" s="211" customFormat="1" ht="15" x14ac:dyDescent="0.5">
      <c r="B144" s="221" t="s">
        <v>507</v>
      </c>
      <c r="C144" s="222">
        <v>80</v>
      </c>
      <c r="D144" s="223">
        <v>45.5</v>
      </c>
      <c r="E144" s="223">
        <v>67.099999999999994</v>
      </c>
      <c r="F144" s="223">
        <v>52.4</v>
      </c>
      <c r="G144" s="223">
        <v>61.1</v>
      </c>
      <c r="H144" s="223">
        <v>69.599999999999994</v>
      </c>
      <c r="I144" s="223">
        <v>59.2</v>
      </c>
      <c r="J144" s="223">
        <v>56.9</v>
      </c>
      <c r="K144" s="223">
        <v>52.1</v>
      </c>
      <c r="L144" s="223">
        <v>59.3</v>
      </c>
      <c r="M144" s="223">
        <v>53.8</v>
      </c>
      <c r="N144" s="223">
        <v>66.599999999999994</v>
      </c>
      <c r="O144" s="223">
        <v>73.400000000000006</v>
      </c>
      <c r="P144" s="223">
        <v>64.7</v>
      </c>
      <c r="Q144" s="223">
        <v>51.9</v>
      </c>
      <c r="R144" s="223">
        <v>49.7</v>
      </c>
      <c r="S144" s="223">
        <v>50.8</v>
      </c>
      <c r="T144" s="224">
        <v>58.381249999999994</v>
      </c>
    </row>
    <row r="145" spans="2:20" s="211" customFormat="1" ht="15" x14ac:dyDescent="0.5">
      <c r="B145" s="221" t="s">
        <v>508</v>
      </c>
      <c r="C145" s="222">
        <v>100</v>
      </c>
      <c r="D145" s="223">
        <v>77.2</v>
      </c>
      <c r="E145" s="223">
        <v>93.7</v>
      </c>
      <c r="F145" s="223">
        <v>72.099999999999994</v>
      </c>
      <c r="G145" s="223">
        <v>84.1</v>
      </c>
      <c r="H145" s="223">
        <v>97.2</v>
      </c>
      <c r="I145" s="223">
        <v>83.9</v>
      </c>
      <c r="J145" s="223">
        <v>84</v>
      </c>
      <c r="K145" s="223">
        <v>85.1</v>
      </c>
      <c r="L145" s="223">
        <v>84.1</v>
      </c>
      <c r="M145" s="223">
        <v>87</v>
      </c>
      <c r="N145" s="223">
        <v>92.8</v>
      </c>
      <c r="O145" s="223">
        <v>108.4</v>
      </c>
      <c r="P145" s="223">
        <v>97.4</v>
      </c>
      <c r="Q145" s="223">
        <v>71.2</v>
      </c>
      <c r="R145" s="223">
        <v>81.7</v>
      </c>
      <c r="S145" s="223">
        <v>67.400000000000006</v>
      </c>
      <c r="T145" s="224">
        <v>85.456250000000026</v>
      </c>
    </row>
    <row r="146" spans="2:20" s="211" customFormat="1" ht="15" x14ac:dyDescent="0.5">
      <c r="B146" s="221" t="s">
        <v>509</v>
      </c>
      <c r="C146" s="222">
        <v>115</v>
      </c>
      <c r="D146" s="223">
        <v>77</v>
      </c>
      <c r="E146" s="223">
        <v>77</v>
      </c>
      <c r="F146" s="223">
        <v>77</v>
      </c>
      <c r="G146" s="223">
        <v>98.6</v>
      </c>
      <c r="H146" s="223">
        <v>98.6</v>
      </c>
      <c r="I146" s="223">
        <v>54.4</v>
      </c>
      <c r="J146" s="223">
        <v>54.4</v>
      </c>
      <c r="K146" s="223">
        <v>54.4</v>
      </c>
      <c r="L146" s="223">
        <v>77</v>
      </c>
      <c r="M146" s="223">
        <v>98.6</v>
      </c>
      <c r="N146" s="223">
        <v>98.6</v>
      </c>
      <c r="O146" s="223">
        <v>117</v>
      </c>
      <c r="P146" s="223">
        <v>98.6</v>
      </c>
      <c r="Q146" s="223">
        <v>98.6</v>
      </c>
      <c r="R146" s="223">
        <v>98.6</v>
      </c>
      <c r="S146" s="223">
        <v>54.4</v>
      </c>
      <c r="T146" s="224">
        <v>83.3</v>
      </c>
    </row>
    <row r="147" spans="2:20" s="211" customFormat="1" ht="15" x14ac:dyDescent="0.5">
      <c r="B147" s="221" t="s">
        <v>510</v>
      </c>
      <c r="C147" s="222">
        <v>1850</v>
      </c>
      <c r="D147" s="223">
        <v>1499</v>
      </c>
      <c r="E147" s="223">
        <v>1499</v>
      </c>
      <c r="F147" s="223">
        <v>1499</v>
      </c>
      <c r="G147" s="223">
        <v>1499</v>
      </c>
      <c r="H147" s="223">
        <v>1499</v>
      </c>
      <c r="I147" s="223">
        <v>1199</v>
      </c>
      <c r="J147" s="223">
        <v>1199</v>
      </c>
      <c r="K147" s="223">
        <v>1199</v>
      </c>
      <c r="L147" s="223">
        <v>1499</v>
      </c>
      <c r="M147" s="223">
        <v>1508</v>
      </c>
      <c r="N147" s="223">
        <v>1508</v>
      </c>
      <c r="O147" s="223">
        <v>1508</v>
      </c>
      <c r="P147" s="223">
        <v>1166</v>
      </c>
      <c r="Q147" s="223">
        <v>1499</v>
      </c>
      <c r="R147" s="223">
        <v>1499</v>
      </c>
      <c r="S147" s="223">
        <v>1199</v>
      </c>
      <c r="T147" s="224">
        <v>1404.875</v>
      </c>
    </row>
    <row r="148" spans="2:20" s="211" customFormat="1" ht="15" x14ac:dyDescent="0.5">
      <c r="B148" s="221" t="s">
        <v>511</v>
      </c>
      <c r="C148" s="222">
        <v>25</v>
      </c>
      <c r="D148" s="223">
        <v>17.8</v>
      </c>
      <c r="E148" s="223">
        <v>22.1</v>
      </c>
      <c r="F148" s="223">
        <v>20.8</v>
      </c>
      <c r="G148" s="223">
        <v>23.5</v>
      </c>
      <c r="H148" s="223">
        <v>24.9</v>
      </c>
      <c r="I148" s="223">
        <v>22.9</v>
      </c>
      <c r="J148" s="223">
        <v>22.4</v>
      </c>
      <c r="K148" s="223">
        <v>24</v>
      </c>
      <c r="L148" s="223">
        <v>18.8</v>
      </c>
      <c r="M148" s="223">
        <v>20.9</v>
      </c>
      <c r="N148" s="223">
        <v>19.899999999999999</v>
      </c>
      <c r="O148" s="223">
        <v>22</v>
      </c>
      <c r="P148" s="223">
        <v>19.100000000000001</v>
      </c>
      <c r="Q148" s="223">
        <v>15.1</v>
      </c>
      <c r="R148" s="223">
        <v>14.9</v>
      </c>
      <c r="S148" s="223">
        <v>21.7</v>
      </c>
      <c r="T148" s="224">
        <v>20.675000000000001</v>
      </c>
    </row>
    <row r="149" spans="2:20" s="211" customFormat="1" ht="15" x14ac:dyDescent="0.5">
      <c r="B149" s="221" t="s">
        <v>512</v>
      </c>
      <c r="C149" s="222">
        <v>1750</v>
      </c>
      <c r="D149" s="223">
        <v>1583</v>
      </c>
      <c r="E149" s="223">
        <v>1583</v>
      </c>
      <c r="F149" s="223">
        <v>1583</v>
      </c>
      <c r="G149" s="223">
        <v>1583</v>
      </c>
      <c r="H149" s="223">
        <v>1583</v>
      </c>
      <c r="I149" s="223">
        <v>1583</v>
      </c>
      <c r="J149" s="223">
        <v>1265</v>
      </c>
      <c r="K149" s="223">
        <v>1265</v>
      </c>
      <c r="L149" s="223">
        <v>1583</v>
      </c>
      <c r="M149" s="223">
        <v>1583</v>
      </c>
      <c r="N149" s="223">
        <v>1583</v>
      </c>
      <c r="O149" s="223">
        <v>1583</v>
      </c>
      <c r="P149" s="223">
        <v>1327</v>
      </c>
      <c r="Q149" s="223">
        <v>1583</v>
      </c>
      <c r="R149" s="223">
        <v>1583</v>
      </c>
      <c r="S149" s="223">
        <v>1265</v>
      </c>
      <c r="T149" s="224">
        <v>1507.375</v>
      </c>
    </row>
    <row r="150" spans="2:20" s="211" customFormat="1" ht="15" x14ac:dyDescent="0.5">
      <c r="B150" s="221" t="s">
        <v>513</v>
      </c>
      <c r="C150" s="222">
        <v>1850</v>
      </c>
      <c r="D150" s="223">
        <v>1583</v>
      </c>
      <c r="E150" s="223">
        <v>1583</v>
      </c>
      <c r="F150" s="223">
        <v>1583</v>
      </c>
      <c r="G150" s="223">
        <v>1583</v>
      </c>
      <c r="H150" s="223">
        <v>1583</v>
      </c>
      <c r="I150" s="223">
        <v>1583</v>
      </c>
      <c r="J150" s="223">
        <v>1265</v>
      </c>
      <c r="K150" s="223">
        <v>1265</v>
      </c>
      <c r="L150" s="223">
        <v>1583</v>
      </c>
      <c r="M150" s="223">
        <v>1583</v>
      </c>
      <c r="N150" s="223">
        <v>1583</v>
      </c>
      <c r="O150" s="223">
        <v>1583</v>
      </c>
      <c r="P150" s="223">
        <v>1327</v>
      </c>
      <c r="Q150" s="223">
        <v>1583</v>
      </c>
      <c r="R150" s="223">
        <v>1583</v>
      </c>
      <c r="S150" s="223">
        <v>1265</v>
      </c>
      <c r="T150" s="224">
        <v>1507.375</v>
      </c>
    </row>
    <row r="151" spans="2:20" s="211" customFormat="1" ht="15" x14ac:dyDescent="0.5">
      <c r="B151" s="221" t="s">
        <v>514</v>
      </c>
      <c r="C151" s="222">
        <v>40</v>
      </c>
      <c r="D151" s="223">
        <v>39</v>
      </c>
      <c r="E151" s="223">
        <v>39</v>
      </c>
      <c r="F151" s="223">
        <v>39</v>
      </c>
      <c r="G151" s="223">
        <v>39</v>
      </c>
      <c r="H151" s="223">
        <v>39</v>
      </c>
      <c r="I151" s="223">
        <v>39</v>
      </c>
      <c r="J151" s="223">
        <v>39</v>
      </c>
      <c r="K151" s="223">
        <v>39</v>
      </c>
      <c r="L151" s="223">
        <v>39</v>
      </c>
      <c r="M151" s="223">
        <v>39</v>
      </c>
      <c r="N151" s="223">
        <v>39</v>
      </c>
      <c r="O151" s="223">
        <v>39</v>
      </c>
      <c r="P151" s="223">
        <v>24.2</v>
      </c>
      <c r="Q151" s="223">
        <v>39</v>
      </c>
      <c r="R151" s="223">
        <v>39</v>
      </c>
      <c r="S151" s="223">
        <v>39</v>
      </c>
      <c r="T151" s="224">
        <v>38.075000000000003</v>
      </c>
    </row>
    <row r="152" spans="2:20" s="211" customFormat="1" ht="15" x14ac:dyDescent="0.5">
      <c r="B152" s="221" t="s">
        <v>515</v>
      </c>
      <c r="C152" s="222">
        <v>50</v>
      </c>
      <c r="D152" s="223">
        <v>45.3</v>
      </c>
      <c r="E152" s="223">
        <v>45.3</v>
      </c>
      <c r="F152" s="223">
        <v>45.3</v>
      </c>
      <c r="G152" s="223">
        <v>45.3</v>
      </c>
      <c r="H152" s="223">
        <v>45.3</v>
      </c>
      <c r="I152" s="223">
        <v>45.3</v>
      </c>
      <c r="J152" s="223">
        <v>45.3</v>
      </c>
      <c r="K152" s="223">
        <v>45.3</v>
      </c>
      <c r="L152" s="223">
        <v>45.3</v>
      </c>
      <c r="M152" s="223">
        <v>45.3</v>
      </c>
      <c r="N152" s="223">
        <v>45.3</v>
      </c>
      <c r="O152" s="223">
        <v>45.3</v>
      </c>
      <c r="P152" s="223">
        <v>50.8</v>
      </c>
      <c r="Q152" s="223">
        <v>45.3</v>
      </c>
      <c r="R152" s="223">
        <v>45.3</v>
      </c>
      <c r="S152" s="223">
        <v>45.3</v>
      </c>
      <c r="T152" s="224">
        <v>45.64374999999999</v>
      </c>
    </row>
    <row r="153" spans="2:20" s="211" customFormat="1" ht="15" x14ac:dyDescent="0.5">
      <c r="B153" s="221" t="s">
        <v>516</v>
      </c>
      <c r="C153" s="222">
        <v>1200</v>
      </c>
      <c r="D153" s="223">
        <v>1270</v>
      </c>
      <c r="E153" s="223">
        <v>1270</v>
      </c>
      <c r="F153" s="223">
        <v>1270</v>
      </c>
      <c r="G153" s="223">
        <v>1270</v>
      </c>
      <c r="H153" s="223">
        <v>1270</v>
      </c>
      <c r="I153" s="223">
        <v>1270</v>
      </c>
      <c r="J153" s="223">
        <v>1270</v>
      </c>
      <c r="K153" s="223">
        <v>1270</v>
      </c>
      <c r="L153" s="223">
        <v>1270</v>
      </c>
      <c r="M153" s="223">
        <v>1270</v>
      </c>
      <c r="N153" s="223">
        <v>1270</v>
      </c>
      <c r="O153" s="223">
        <v>1270</v>
      </c>
      <c r="P153" s="223">
        <v>1235</v>
      </c>
      <c r="Q153" s="223">
        <v>1270</v>
      </c>
      <c r="R153" s="223">
        <v>1270</v>
      </c>
      <c r="S153" s="223">
        <v>1270</v>
      </c>
      <c r="T153" s="224">
        <v>1267.8125</v>
      </c>
    </row>
    <row r="154" spans="2:20" s="211" customFormat="1" ht="15" x14ac:dyDescent="0.5">
      <c r="B154" s="221" t="s">
        <v>517</v>
      </c>
      <c r="C154" s="222">
        <v>1100</v>
      </c>
      <c r="D154" s="223">
        <v>977</v>
      </c>
      <c r="E154" s="223">
        <v>977</v>
      </c>
      <c r="F154" s="223">
        <v>977</v>
      </c>
      <c r="G154" s="223">
        <v>977</v>
      </c>
      <c r="H154" s="223">
        <v>977</v>
      </c>
      <c r="I154" s="223">
        <v>977</v>
      </c>
      <c r="J154" s="223">
        <v>977</v>
      </c>
      <c r="K154" s="223">
        <v>780</v>
      </c>
      <c r="L154" s="223">
        <v>977</v>
      </c>
      <c r="M154" s="223">
        <v>977</v>
      </c>
      <c r="N154" s="223">
        <v>977</v>
      </c>
      <c r="O154" s="223">
        <v>977</v>
      </c>
      <c r="P154" s="223">
        <v>743</v>
      </c>
      <c r="Q154" s="223">
        <v>780</v>
      </c>
      <c r="R154" s="223">
        <v>780</v>
      </c>
      <c r="S154" s="223">
        <v>780</v>
      </c>
      <c r="T154" s="224">
        <v>913.125</v>
      </c>
    </row>
    <row r="155" spans="2:20" s="211" customFormat="1" ht="15" x14ac:dyDescent="0.5">
      <c r="B155" s="221" t="s">
        <v>518</v>
      </c>
      <c r="C155" s="222">
        <v>17</v>
      </c>
      <c r="D155" s="223">
        <v>16.2</v>
      </c>
      <c r="E155" s="223">
        <v>16.2</v>
      </c>
      <c r="F155" s="223">
        <v>16.2</v>
      </c>
      <c r="G155" s="223">
        <v>16.2</v>
      </c>
      <c r="H155" s="223">
        <v>16.2</v>
      </c>
      <c r="I155" s="223">
        <v>16.2</v>
      </c>
      <c r="J155" s="223">
        <v>16.2</v>
      </c>
      <c r="K155" s="223">
        <v>16.2</v>
      </c>
      <c r="L155" s="223">
        <v>16.2</v>
      </c>
      <c r="M155" s="223">
        <v>16.2</v>
      </c>
      <c r="N155" s="223">
        <v>16.2</v>
      </c>
      <c r="O155" s="223">
        <v>16.2</v>
      </c>
      <c r="P155" s="223">
        <v>9.5</v>
      </c>
      <c r="Q155" s="223">
        <v>16.2</v>
      </c>
      <c r="R155" s="223">
        <v>16.2</v>
      </c>
      <c r="S155" s="223">
        <v>16.2</v>
      </c>
      <c r="T155" s="224">
        <v>15.781249999999995</v>
      </c>
    </row>
    <row r="156" spans="2:20" s="211" customFormat="1" ht="15" x14ac:dyDescent="0.5">
      <c r="B156" s="221" t="s">
        <v>519</v>
      </c>
      <c r="C156" s="222">
        <v>575</v>
      </c>
      <c r="D156" s="223">
        <v>520</v>
      </c>
      <c r="E156" s="223">
        <v>520</v>
      </c>
      <c r="F156" s="223">
        <v>520</v>
      </c>
      <c r="G156" s="223">
        <v>520</v>
      </c>
      <c r="H156" s="223">
        <v>520</v>
      </c>
      <c r="I156" s="223">
        <v>520</v>
      </c>
      <c r="J156" s="223">
        <v>520</v>
      </c>
      <c r="K156" s="223">
        <v>520</v>
      </c>
      <c r="L156" s="223">
        <v>520</v>
      </c>
      <c r="M156" s="223">
        <v>520</v>
      </c>
      <c r="N156" s="223">
        <v>520</v>
      </c>
      <c r="O156" s="223">
        <v>520</v>
      </c>
      <c r="P156" s="223">
        <v>520</v>
      </c>
      <c r="Q156" s="223">
        <v>520</v>
      </c>
      <c r="R156" s="223">
        <v>520</v>
      </c>
      <c r="S156" s="223">
        <v>520</v>
      </c>
      <c r="T156" s="224">
        <v>520</v>
      </c>
    </row>
    <row r="159" spans="2:20" x14ac:dyDescent="0.55000000000000004">
      <c r="C159" s="56" t="s">
        <v>506</v>
      </c>
    </row>
    <row r="160" spans="2:20" x14ac:dyDescent="0.55000000000000004">
      <c r="B160" s="56" t="s">
        <v>523</v>
      </c>
      <c r="C160" s="218" t="s">
        <v>487</v>
      </c>
      <c r="D160" s="56" t="s">
        <v>488</v>
      </c>
      <c r="E160" s="56" t="s">
        <v>489</v>
      </c>
      <c r="F160" s="56" t="s">
        <v>490</v>
      </c>
      <c r="G160" s="56" t="s">
        <v>491</v>
      </c>
      <c r="H160" s="56" t="s">
        <v>492</v>
      </c>
      <c r="I160" s="56" t="s">
        <v>493</v>
      </c>
      <c r="J160" s="56" t="s">
        <v>494</v>
      </c>
      <c r="K160" s="56" t="s">
        <v>495</v>
      </c>
      <c r="L160" s="56" t="s">
        <v>496</v>
      </c>
      <c r="M160" s="56" t="s">
        <v>497</v>
      </c>
      <c r="N160" s="56" t="s">
        <v>498</v>
      </c>
      <c r="O160" s="56" t="s">
        <v>499</v>
      </c>
      <c r="P160" s="56" t="s">
        <v>500</v>
      </c>
      <c r="Q160" s="56" t="s">
        <v>501</v>
      </c>
      <c r="R160" s="56" t="s">
        <v>502</v>
      </c>
      <c r="S160" s="56" t="s">
        <v>503</v>
      </c>
      <c r="T160" s="56" t="s">
        <v>522</v>
      </c>
    </row>
    <row r="161" spans="2:20" x14ac:dyDescent="0.55000000000000004">
      <c r="B161" s="56" t="s">
        <v>412</v>
      </c>
      <c r="C161" s="225">
        <v>1.9550000000000001</v>
      </c>
      <c r="D161" s="225">
        <v>2.2599999999999998</v>
      </c>
      <c r="E161" s="225">
        <v>1.1299999999999999</v>
      </c>
      <c r="F161" s="225">
        <v>1.82</v>
      </c>
      <c r="G161" s="225">
        <v>0.92</v>
      </c>
      <c r="H161" s="225">
        <v>1.02</v>
      </c>
      <c r="I161" s="225">
        <v>1.71</v>
      </c>
      <c r="J161" s="225">
        <v>2.11</v>
      </c>
      <c r="K161" s="225">
        <v>2.98</v>
      </c>
      <c r="L161" s="225">
        <v>2.23</v>
      </c>
      <c r="M161" s="225">
        <v>2.2599999999999998</v>
      </c>
      <c r="N161" s="225">
        <v>2.21</v>
      </c>
      <c r="O161" s="225">
        <v>3.96</v>
      </c>
      <c r="P161" s="225">
        <v>3.96</v>
      </c>
      <c r="Q161" s="225">
        <v>5.3</v>
      </c>
      <c r="R161" s="225">
        <v>3.24</v>
      </c>
      <c r="S161" s="225">
        <v>2.73</v>
      </c>
      <c r="T161" s="225">
        <v>2.4899999999999998</v>
      </c>
    </row>
    <row r="162" spans="2:20" x14ac:dyDescent="0.55000000000000004">
      <c r="B162" s="56" t="s">
        <v>411</v>
      </c>
      <c r="C162" s="225">
        <v>1.4125000000000001</v>
      </c>
      <c r="D162" s="225">
        <v>1.44</v>
      </c>
      <c r="E162" s="225">
        <v>0.96</v>
      </c>
      <c r="F162" s="225">
        <v>0.94</v>
      </c>
      <c r="G162" s="225">
        <v>0.56000000000000005</v>
      </c>
      <c r="H162" s="225">
        <v>1.07</v>
      </c>
      <c r="I162" s="225">
        <v>1.26</v>
      </c>
      <c r="J162" s="225">
        <v>1.51</v>
      </c>
      <c r="K162" s="225">
        <v>1.26</v>
      </c>
      <c r="L162" s="225">
        <v>1.3</v>
      </c>
      <c r="M162" s="225">
        <v>1.44</v>
      </c>
      <c r="N162" s="225">
        <v>1.48</v>
      </c>
      <c r="O162" s="225">
        <v>2.36</v>
      </c>
      <c r="P162" s="225">
        <v>2.36</v>
      </c>
      <c r="Q162" s="225">
        <v>3.44</v>
      </c>
      <c r="R162" s="225">
        <v>2.74</v>
      </c>
      <c r="S162" s="225">
        <v>1.1399999999999999</v>
      </c>
      <c r="T162" s="225">
        <v>1.5787500000000003</v>
      </c>
    </row>
    <row r="163" spans="2:20" x14ac:dyDescent="0.55000000000000004">
      <c r="B163" s="56" t="s">
        <v>485</v>
      </c>
      <c r="C163" s="225">
        <v>1.375</v>
      </c>
      <c r="D163" s="225">
        <v>1.66</v>
      </c>
      <c r="E163" s="225">
        <v>1.23</v>
      </c>
      <c r="F163" s="225">
        <v>1.24</v>
      </c>
      <c r="G163" s="225">
        <v>0.8</v>
      </c>
      <c r="H163" s="225">
        <v>1.31</v>
      </c>
      <c r="I163" s="225">
        <v>1.31</v>
      </c>
      <c r="J163" s="225">
        <v>1.2</v>
      </c>
      <c r="K163" s="225">
        <v>0.96</v>
      </c>
      <c r="L163" s="225">
        <v>1.48</v>
      </c>
      <c r="M163" s="225">
        <v>1.34</v>
      </c>
      <c r="N163" s="225">
        <v>1.1599999999999999</v>
      </c>
      <c r="O163" s="225">
        <v>1.65</v>
      </c>
      <c r="P163" s="225">
        <v>1.65</v>
      </c>
      <c r="Q163" s="225">
        <v>2.11</v>
      </c>
      <c r="R163" s="225">
        <v>1.66</v>
      </c>
      <c r="S163" s="225">
        <v>0.9</v>
      </c>
      <c r="T163" s="225">
        <v>1.35375</v>
      </c>
    </row>
    <row r="164" spans="2:20" x14ac:dyDescent="0.55000000000000004">
      <c r="B164" s="56" t="s">
        <v>413</v>
      </c>
      <c r="C164" s="225">
        <v>5.4950000000000001</v>
      </c>
      <c r="D164" s="225">
        <v>5.59</v>
      </c>
      <c r="E164" s="225">
        <v>5.8</v>
      </c>
      <c r="F164" s="225">
        <v>5.69</v>
      </c>
      <c r="G164" s="225">
        <v>5.0599999999999996</v>
      </c>
      <c r="H164" s="225">
        <v>4.87</v>
      </c>
      <c r="I164" s="225">
        <v>6.1</v>
      </c>
      <c r="J164" s="225">
        <v>6.1</v>
      </c>
      <c r="K164" s="225">
        <v>5.78</v>
      </c>
      <c r="L164" s="225">
        <v>5.53</v>
      </c>
      <c r="M164" s="225">
        <v>4.7</v>
      </c>
      <c r="N164" s="225">
        <v>4.6399999999999997</v>
      </c>
      <c r="O164" s="225">
        <v>5.21</v>
      </c>
      <c r="P164" s="225">
        <v>5.21</v>
      </c>
      <c r="Q164" s="225">
        <v>4.58</v>
      </c>
      <c r="R164" s="225">
        <v>4.34</v>
      </c>
      <c r="S164" s="225">
        <v>5.36</v>
      </c>
      <c r="T164" s="225">
        <v>5.2850000000000001</v>
      </c>
    </row>
    <row r="165" spans="2:20" x14ac:dyDescent="0.55000000000000004">
      <c r="B165" s="56" t="s">
        <v>507</v>
      </c>
      <c r="C165" s="225">
        <v>2.5</v>
      </c>
      <c r="D165" s="225">
        <v>2.96</v>
      </c>
      <c r="E165" s="225">
        <v>1.98</v>
      </c>
      <c r="F165" s="225">
        <v>2.08</v>
      </c>
      <c r="G165" s="225">
        <v>1.59</v>
      </c>
      <c r="H165" s="225">
        <v>1.75</v>
      </c>
      <c r="I165" s="225">
        <v>1.66</v>
      </c>
      <c r="J165" s="225">
        <v>2.0099999999999998</v>
      </c>
      <c r="K165" s="225">
        <v>3.88</v>
      </c>
      <c r="L165" s="225">
        <v>3.44</v>
      </c>
      <c r="M165" s="225">
        <v>3.44</v>
      </c>
      <c r="N165" s="225">
        <v>3.85</v>
      </c>
      <c r="O165" s="225">
        <v>4.6100000000000003</v>
      </c>
      <c r="P165" s="225">
        <v>4.6100000000000003</v>
      </c>
      <c r="Q165" s="225">
        <v>6.28</v>
      </c>
      <c r="R165" s="225">
        <v>4.1500000000000004</v>
      </c>
      <c r="S165" s="225">
        <v>6.57</v>
      </c>
      <c r="T165" s="225">
        <v>3.4287500000000004</v>
      </c>
    </row>
    <row r="166" spans="2:20" x14ac:dyDescent="0.55000000000000004">
      <c r="B166" s="56" t="s">
        <v>508</v>
      </c>
      <c r="C166" s="225">
        <v>2.2149999999999999</v>
      </c>
      <c r="D166" s="225">
        <v>2.72</v>
      </c>
      <c r="E166" s="225">
        <v>2.65</v>
      </c>
      <c r="F166" s="225">
        <v>2.77</v>
      </c>
      <c r="G166" s="225">
        <v>1.91</v>
      </c>
      <c r="H166" s="225">
        <v>1.72</v>
      </c>
      <c r="I166" s="225">
        <v>1.89</v>
      </c>
      <c r="J166" s="225">
        <v>2.5299999999999998</v>
      </c>
      <c r="K166" s="225">
        <v>2.84</v>
      </c>
      <c r="L166" s="225">
        <v>3.24</v>
      </c>
      <c r="M166" s="225">
        <v>2.23</v>
      </c>
      <c r="N166" s="225">
        <v>2.34</v>
      </c>
      <c r="O166" s="225">
        <v>2.6</v>
      </c>
      <c r="P166" s="225">
        <v>2.6</v>
      </c>
      <c r="Q166" s="225">
        <v>4.3</v>
      </c>
      <c r="R166" s="225">
        <v>3.17</v>
      </c>
      <c r="S166" s="225">
        <v>1.84</v>
      </c>
      <c r="T166" s="225">
        <v>2.5843750000000005</v>
      </c>
    </row>
    <row r="167" spans="2:20" x14ac:dyDescent="0.55000000000000004">
      <c r="B167" s="56" t="s">
        <v>509</v>
      </c>
      <c r="C167" s="225">
        <v>12.692500000000001</v>
      </c>
      <c r="D167" s="225">
        <v>12.41</v>
      </c>
      <c r="E167" s="225">
        <v>12.78</v>
      </c>
      <c r="F167" s="225">
        <v>12.78</v>
      </c>
      <c r="G167" s="225">
        <v>12.84</v>
      </c>
      <c r="H167" s="225">
        <v>12.46</v>
      </c>
      <c r="I167" s="225">
        <v>11.64</v>
      </c>
      <c r="J167" s="225">
        <v>11.53</v>
      </c>
      <c r="K167" s="225">
        <v>11</v>
      </c>
      <c r="L167" s="225">
        <v>12.27</v>
      </c>
      <c r="M167" s="225">
        <v>11.99</v>
      </c>
      <c r="N167" s="225">
        <v>11.8</v>
      </c>
      <c r="O167" s="225">
        <v>13.89</v>
      </c>
      <c r="P167" s="225">
        <v>13.89</v>
      </c>
      <c r="Q167" s="225">
        <v>11.7</v>
      </c>
      <c r="R167" s="225">
        <v>11.17</v>
      </c>
      <c r="S167" s="225">
        <v>10.17</v>
      </c>
      <c r="T167" s="225">
        <v>12.144999999999996</v>
      </c>
    </row>
    <row r="168" spans="2:20" x14ac:dyDescent="0.55000000000000004">
      <c r="B168" s="56" t="s">
        <v>510</v>
      </c>
      <c r="C168" s="225">
        <v>7.9350000000000005</v>
      </c>
      <c r="D168" s="225">
        <v>7.71</v>
      </c>
      <c r="E168" s="225">
        <v>7.98</v>
      </c>
      <c r="F168" s="225">
        <v>7.99</v>
      </c>
      <c r="G168" s="225">
        <v>8.34</v>
      </c>
      <c r="H168" s="225">
        <v>8.06</v>
      </c>
      <c r="I168" s="225">
        <v>8.14</v>
      </c>
      <c r="J168" s="225">
        <v>8.06</v>
      </c>
      <c r="K168" s="225">
        <v>7.71</v>
      </c>
      <c r="L168" s="225">
        <v>7.64</v>
      </c>
      <c r="M168" s="225">
        <v>7.74</v>
      </c>
      <c r="N168" s="225">
        <v>7.66</v>
      </c>
      <c r="O168" s="225">
        <v>7.56</v>
      </c>
      <c r="P168" s="225">
        <v>7.56</v>
      </c>
      <c r="Q168" s="225">
        <v>7.54</v>
      </c>
      <c r="R168" s="225">
        <v>7.18</v>
      </c>
      <c r="S168" s="225">
        <v>7.23</v>
      </c>
      <c r="T168" s="225">
        <v>7.7562500000000005</v>
      </c>
    </row>
    <row r="169" spans="2:20" x14ac:dyDescent="0.55000000000000004">
      <c r="B169" s="56" t="s">
        <v>511</v>
      </c>
      <c r="C169" s="225">
        <v>2.6174999999999997</v>
      </c>
      <c r="D169" s="225">
        <v>2.66</v>
      </c>
      <c r="E169" s="225">
        <v>1.86</v>
      </c>
      <c r="F169" s="225">
        <v>2.5099999999999998</v>
      </c>
      <c r="G169" s="225">
        <v>1.92</v>
      </c>
      <c r="H169" s="225">
        <v>1.88</v>
      </c>
      <c r="I169" s="225">
        <v>2.5099999999999998</v>
      </c>
      <c r="J169" s="225">
        <v>3.61</v>
      </c>
      <c r="K169" s="225">
        <v>3.66</v>
      </c>
      <c r="L169" s="225">
        <v>3.84</v>
      </c>
      <c r="M169" s="225">
        <v>4.25</v>
      </c>
      <c r="N169" s="225">
        <v>3.39</v>
      </c>
      <c r="O169" s="225">
        <v>4.22</v>
      </c>
      <c r="P169" s="225">
        <v>4.22</v>
      </c>
      <c r="Q169" s="225">
        <v>4.9800000000000004</v>
      </c>
      <c r="R169" s="225">
        <v>4.25</v>
      </c>
      <c r="S169" s="225">
        <v>5.64</v>
      </c>
      <c r="T169" s="225">
        <v>3.4624999999999995</v>
      </c>
    </row>
    <row r="170" spans="2:20" x14ac:dyDescent="0.55000000000000004">
      <c r="B170" s="56" t="s">
        <v>512</v>
      </c>
      <c r="C170" s="225">
        <v>9.8249999999999993</v>
      </c>
      <c r="D170" s="225">
        <v>9.5399999999999991</v>
      </c>
      <c r="E170" s="225">
        <v>9.84</v>
      </c>
      <c r="F170" s="225">
        <v>9.84</v>
      </c>
      <c r="G170" s="225">
        <v>10.24</v>
      </c>
      <c r="H170" s="225">
        <v>10</v>
      </c>
      <c r="I170" s="225">
        <v>10.08</v>
      </c>
      <c r="J170" s="225">
        <v>10.029999999999999</v>
      </c>
      <c r="K170" s="225">
        <v>9.59</v>
      </c>
      <c r="L170" s="225">
        <v>9.3800000000000008</v>
      </c>
      <c r="M170" s="225">
        <v>9.6199999999999992</v>
      </c>
      <c r="N170" s="225">
        <v>9.3800000000000008</v>
      </c>
      <c r="O170" s="225">
        <v>9.3800000000000008</v>
      </c>
      <c r="P170" s="225">
        <v>9.3800000000000008</v>
      </c>
      <c r="Q170" s="225">
        <v>9.3800000000000008</v>
      </c>
      <c r="R170" s="225">
        <v>8.92</v>
      </c>
      <c r="S170" s="225">
        <v>8.86</v>
      </c>
      <c r="T170" s="225">
        <v>9.5912499999999987</v>
      </c>
    </row>
    <row r="171" spans="2:20" x14ac:dyDescent="0.55000000000000004">
      <c r="B171" s="56" t="s">
        <v>513</v>
      </c>
      <c r="C171" s="225">
        <v>5.7725000000000009</v>
      </c>
      <c r="D171" s="225">
        <v>5.59</v>
      </c>
      <c r="E171" s="225">
        <v>5.78</v>
      </c>
      <c r="F171" s="225">
        <v>5.78</v>
      </c>
      <c r="G171" s="225">
        <v>6.03</v>
      </c>
      <c r="H171" s="225">
        <v>5.9</v>
      </c>
      <c r="I171" s="225">
        <v>5.9</v>
      </c>
      <c r="J171" s="225">
        <v>5.92</v>
      </c>
      <c r="K171" s="225">
        <v>5.66</v>
      </c>
      <c r="L171" s="225">
        <v>5.51</v>
      </c>
      <c r="M171" s="225">
        <v>5.64</v>
      </c>
      <c r="N171" s="225">
        <v>5.51</v>
      </c>
      <c r="O171" s="225">
        <v>5.51</v>
      </c>
      <c r="P171" s="225">
        <v>5.51</v>
      </c>
      <c r="Q171" s="225">
        <v>5.51</v>
      </c>
      <c r="R171" s="225">
        <v>5.2</v>
      </c>
      <c r="S171" s="225">
        <v>5.2</v>
      </c>
      <c r="T171" s="225">
        <v>5.6343750000000012</v>
      </c>
    </row>
    <row r="172" spans="2:20" x14ac:dyDescent="0.55000000000000004">
      <c r="B172" s="56" t="s">
        <v>514</v>
      </c>
      <c r="C172" s="225">
        <v>4.16</v>
      </c>
      <c r="D172" s="225">
        <v>4.03</v>
      </c>
      <c r="E172" s="225">
        <v>4.1399999999999997</v>
      </c>
      <c r="F172" s="225">
        <v>4.1399999999999997</v>
      </c>
      <c r="G172" s="225">
        <v>4.3099999999999996</v>
      </c>
      <c r="H172" s="225">
        <v>4.26</v>
      </c>
      <c r="I172" s="225">
        <v>4.26</v>
      </c>
      <c r="J172" s="225">
        <v>4.26</v>
      </c>
      <c r="K172" s="225">
        <v>4.03</v>
      </c>
      <c r="L172" s="225">
        <v>3.98</v>
      </c>
      <c r="M172" s="225">
        <v>4.03</v>
      </c>
      <c r="N172" s="225">
        <v>3.98</v>
      </c>
      <c r="O172" s="225">
        <v>3.98</v>
      </c>
      <c r="P172" s="225">
        <v>3.98</v>
      </c>
      <c r="Q172" s="225">
        <v>4.93</v>
      </c>
      <c r="R172" s="225">
        <v>3.74</v>
      </c>
      <c r="S172" s="225">
        <v>3.74</v>
      </c>
      <c r="T172" s="225">
        <v>4.1118749999999986</v>
      </c>
    </row>
    <row r="173" spans="2:20" x14ac:dyDescent="0.55000000000000004">
      <c r="B173" s="56" t="s">
        <v>515</v>
      </c>
      <c r="C173" s="225">
        <v>2.5449999999999999</v>
      </c>
      <c r="D173" s="225">
        <v>2.86</v>
      </c>
      <c r="E173" s="225">
        <v>3</v>
      </c>
      <c r="F173" s="225">
        <v>2.21</v>
      </c>
      <c r="G173" s="225">
        <v>2.2999999999999998</v>
      </c>
      <c r="H173" s="225">
        <v>2.25</v>
      </c>
      <c r="I173" s="225">
        <v>2.25</v>
      </c>
      <c r="J173" s="225">
        <v>2.2999999999999998</v>
      </c>
      <c r="K173" s="225">
        <v>3.8</v>
      </c>
      <c r="L173" s="225">
        <v>2.72</v>
      </c>
      <c r="M173" s="225">
        <v>2.16</v>
      </c>
      <c r="N173" s="225">
        <v>2.68</v>
      </c>
      <c r="O173" s="225">
        <v>2.68</v>
      </c>
      <c r="P173" s="225">
        <v>2.68</v>
      </c>
      <c r="Q173" s="225">
        <v>2.68</v>
      </c>
      <c r="R173" s="225">
        <v>2.54</v>
      </c>
      <c r="S173" s="225">
        <v>2.54</v>
      </c>
      <c r="T173" s="225">
        <v>2.6031249999999999</v>
      </c>
    </row>
    <row r="174" spans="2:20" x14ac:dyDescent="0.55000000000000004">
      <c r="B174" s="56" t="s">
        <v>516</v>
      </c>
      <c r="C174" s="225">
        <v>6.9749999999999996</v>
      </c>
      <c r="D174" s="225">
        <v>6.74</v>
      </c>
      <c r="E174" s="225">
        <v>6.97</v>
      </c>
      <c r="F174" s="225">
        <v>6.97</v>
      </c>
      <c r="G174" s="225">
        <v>7.29</v>
      </c>
      <c r="H174" s="225">
        <v>7.11</v>
      </c>
      <c r="I174" s="225">
        <v>7.15</v>
      </c>
      <c r="J174" s="225">
        <v>7.11</v>
      </c>
      <c r="K174" s="225">
        <v>6.86</v>
      </c>
      <c r="L174" s="225">
        <v>6.67</v>
      </c>
      <c r="M174" s="225">
        <v>6.86</v>
      </c>
      <c r="N174" s="225">
        <v>6.67</v>
      </c>
      <c r="O174" s="225">
        <v>6.67</v>
      </c>
      <c r="P174" s="225">
        <v>6.67</v>
      </c>
      <c r="Q174" s="225">
        <v>6.6</v>
      </c>
      <c r="R174" s="225">
        <v>6.3</v>
      </c>
      <c r="S174" s="225">
        <v>6.3</v>
      </c>
      <c r="T174" s="225">
        <v>6.8087499999999999</v>
      </c>
    </row>
    <row r="175" spans="2:20" x14ac:dyDescent="0.55000000000000004">
      <c r="B175" s="56" t="s">
        <v>517</v>
      </c>
      <c r="C175" s="225">
        <v>11.040000000000001</v>
      </c>
      <c r="D175" s="225">
        <v>10.67</v>
      </c>
      <c r="E175" s="225">
        <v>11.03</v>
      </c>
      <c r="F175" s="225">
        <v>10.98</v>
      </c>
      <c r="G175" s="225">
        <v>11.54</v>
      </c>
      <c r="H175" s="225">
        <v>11.23</v>
      </c>
      <c r="I175" s="225">
        <v>11.34</v>
      </c>
      <c r="J175" s="225">
        <v>11.28</v>
      </c>
      <c r="K175" s="225">
        <v>10.72</v>
      </c>
      <c r="L175" s="225">
        <v>10.56</v>
      </c>
      <c r="M175" s="225">
        <v>10.72</v>
      </c>
      <c r="N175" s="225">
        <v>10.56</v>
      </c>
      <c r="O175" s="225">
        <v>10.56</v>
      </c>
      <c r="P175" s="225">
        <v>10.56</v>
      </c>
      <c r="Q175" s="225">
        <v>10.5</v>
      </c>
      <c r="R175" s="225">
        <v>10</v>
      </c>
      <c r="S175" s="225">
        <v>9.94</v>
      </c>
      <c r="T175" s="225">
        <v>10.761875</v>
      </c>
    </row>
    <row r="176" spans="2:20" x14ac:dyDescent="0.55000000000000004">
      <c r="B176" s="56" t="s">
        <v>518</v>
      </c>
      <c r="C176" s="225">
        <v>9.0449999999999999</v>
      </c>
      <c r="D176" s="225">
        <v>8.73</v>
      </c>
      <c r="E176" s="225">
        <v>9.0399999999999991</v>
      </c>
      <c r="F176" s="225">
        <v>9.01</v>
      </c>
      <c r="G176" s="225">
        <v>9.4499999999999993</v>
      </c>
      <c r="H176" s="225">
        <v>9.2200000000000006</v>
      </c>
      <c r="I176" s="225">
        <v>9.2899999999999991</v>
      </c>
      <c r="J176" s="225">
        <v>9.2200000000000006</v>
      </c>
      <c r="K176" s="225">
        <v>8.86</v>
      </c>
      <c r="L176" s="225">
        <v>8.65</v>
      </c>
      <c r="M176" s="225">
        <v>8.81</v>
      </c>
      <c r="N176" s="225">
        <v>8.65</v>
      </c>
      <c r="O176" s="225">
        <v>8.6300000000000008</v>
      </c>
      <c r="P176" s="225">
        <v>8.6300000000000008</v>
      </c>
      <c r="Q176" s="225">
        <v>8.58</v>
      </c>
      <c r="R176" s="225">
        <v>8.14</v>
      </c>
      <c r="S176" s="225">
        <v>8.14</v>
      </c>
      <c r="T176" s="225">
        <v>8.8156250000000007</v>
      </c>
    </row>
    <row r="177" spans="2:20" x14ac:dyDescent="0.55000000000000004">
      <c r="B177" s="56" t="s">
        <v>519</v>
      </c>
      <c r="C177" s="225">
        <v>10.785</v>
      </c>
      <c r="D177" s="225">
        <v>10.39</v>
      </c>
      <c r="E177" s="225">
        <v>10.77</v>
      </c>
      <c r="F177" s="225">
        <v>10.77</v>
      </c>
      <c r="G177" s="225">
        <v>11.2</v>
      </c>
      <c r="H177" s="225">
        <v>11.02</v>
      </c>
      <c r="I177" s="225">
        <v>11.08</v>
      </c>
      <c r="J177" s="225">
        <v>11.02</v>
      </c>
      <c r="K177" s="225">
        <v>10.58</v>
      </c>
      <c r="L177" s="225">
        <v>10.33</v>
      </c>
      <c r="M177" s="225">
        <v>10.52</v>
      </c>
      <c r="N177" s="225">
        <v>10.33</v>
      </c>
      <c r="O177" s="225">
        <v>10.27</v>
      </c>
      <c r="P177" s="225">
        <v>10.27</v>
      </c>
      <c r="Q177" s="225">
        <v>10.199999999999999</v>
      </c>
      <c r="R177" s="225">
        <v>9.76</v>
      </c>
      <c r="S177" s="225">
        <v>9.6999999999999993</v>
      </c>
      <c r="T177" s="225">
        <v>10.513124999999997</v>
      </c>
    </row>
    <row r="180" spans="2:20" x14ac:dyDescent="0.55000000000000004">
      <c r="C180" s="56" t="s">
        <v>506</v>
      </c>
    </row>
    <row r="181" spans="2:20" x14ac:dyDescent="0.55000000000000004">
      <c r="B181" s="56" t="s">
        <v>524</v>
      </c>
      <c r="C181" s="218" t="s">
        <v>487</v>
      </c>
      <c r="D181" s="56" t="s">
        <v>488</v>
      </c>
      <c r="E181" s="56" t="s">
        <v>489</v>
      </c>
      <c r="F181" s="56" t="s">
        <v>490</v>
      </c>
      <c r="G181" s="56" t="s">
        <v>491</v>
      </c>
      <c r="H181" s="56" t="s">
        <v>492</v>
      </c>
      <c r="I181" s="56" t="s">
        <v>493</v>
      </c>
      <c r="J181" s="56" t="s">
        <v>494</v>
      </c>
      <c r="K181" s="56" t="s">
        <v>495</v>
      </c>
      <c r="L181" s="56" t="s">
        <v>496</v>
      </c>
      <c r="M181" s="56" t="s">
        <v>497</v>
      </c>
      <c r="N181" s="56" t="s">
        <v>498</v>
      </c>
      <c r="O181" s="56" t="s">
        <v>499</v>
      </c>
      <c r="P181" s="56" t="s">
        <v>500</v>
      </c>
      <c r="Q181" s="56" t="s">
        <v>501</v>
      </c>
      <c r="R181" s="56" t="s">
        <v>502</v>
      </c>
      <c r="S181" s="56" t="s">
        <v>503</v>
      </c>
      <c r="T181" s="56" t="s">
        <v>522</v>
      </c>
    </row>
    <row r="182" spans="2:20" x14ac:dyDescent="0.55000000000000004">
      <c r="B182" s="54" t="s">
        <v>412</v>
      </c>
      <c r="C182" s="225">
        <v>4.9700000000000006</v>
      </c>
      <c r="D182" s="225">
        <v>5.37</v>
      </c>
      <c r="E182" s="225">
        <v>3.59</v>
      </c>
      <c r="F182" s="225">
        <v>4.7</v>
      </c>
      <c r="G182" s="225">
        <v>2.92</v>
      </c>
      <c r="H182" s="225">
        <v>3.23</v>
      </c>
      <c r="I182" s="225">
        <v>4.57</v>
      </c>
      <c r="J182" s="225">
        <v>5.37</v>
      </c>
      <c r="K182" s="225">
        <v>7.78</v>
      </c>
      <c r="L182" s="225">
        <v>6.55</v>
      </c>
      <c r="M182" s="225">
        <v>5.62</v>
      </c>
      <c r="N182" s="225">
        <v>5.69</v>
      </c>
      <c r="O182" s="225">
        <v>8.49</v>
      </c>
      <c r="P182" s="225">
        <v>8.49</v>
      </c>
      <c r="Q182" s="225">
        <v>11.23</v>
      </c>
      <c r="R182" s="225">
        <v>7.98</v>
      </c>
      <c r="S182" s="225">
        <v>6.8</v>
      </c>
      <c r="T182" s="225">
        <v>6.1487499999999997</v>
      </c>
    </row>
    <row r="183" spans="2:20" x14ac:dyDescent="0.55000000000000004">
      <c r="B183" s="54" t="s">
        <v>411</v>
      </c>
      <c r="C183" s="225">
        <v>4.3224999999999998</v>
      </c>
      <c r="D183" s="225">
        <v>4.08</v>
      </c>
      <c r="E183" s="225">
        <v>3.32</v>
      </c>
      <c r="F183" s="225">
        <v>3.25</v>
      </c>
      <c r="G183" s="225">
        <v>2.04</v>
      </c>
      <c r="H183" s="225">
        <v>3.7</v>
      </c>
      <c r="I183" s="225">
        <v>4.08</v>
      </c>
      <c r="J183" s="225">
        <v>4.88</v>
      </c>
      <c r="K183" s="225">
        <v>4.76</v>
      </c>
      <c r="L183" s="225">
        <v>4.46</v>
      </c>
      <c r="M183" s="225">
        <v>4.4800000000000004</v>
      </c>
      <c r="N183" s="225">
        <v>4.6500000000000004</v>
      </c>
      <c r="O183" s="225">
        <v>6.19</v>
      </c>
      <c r="P183" s="225">
        <v>6.19</v>
      </c>
      <c r="Q183" s="225">
        <v>8.7200000000000006</v>
      </c>
      <c r="R183" s="225">
        <v>7.32</v>
      </c>
      <c r="S183" s="225">
        <v>5.72</v>
      </c>
      <c r="T183" s="225">
        <v>4.8650000000000002</v>
      </c>
    </row>
    <row r="184" spans="2:20" x14ac:dyDescent="0.55000000000000004">
      <c r="B184" s="54" t="s">
        <v>485</v>
      </c>
      <c r="C184" s="225">
        <v>4.34</v>
      </c>
      <c r="D184" s="225">
        <v>4.6399999999999997</v>
      </c>
      <c r="E184" s="225">
        <v>4.29</v>
      </c>
      <c r="F184" s="225">
        <v>4.22</v>
      </c>
      <c r="G184" s="225">
        <v>3</v>
      </c>
      <c r="H184" s="225">
        <v>4.5199999999999996</v>
      </c>
      <c r="I184" s="225">
        <v>4.2</v>
      </c>
      <c r="J184" s="225">
        <v>3.82</v>
      </c>
      <c r="K184" s="225">
        <v>3.55</v>
      </c>
      <c r="L184" s="225">
        <v>5.15</v>
      </c>
      <c r="M184" s="225">
        <v>4.26</v>
      </c>
      <c r="N184" s="225">
        <v>3.61</v>
      </c>
      <c r="O184" s="225">
        <v>4.3499999999999996</v>
      </c>
      <c r="P184" s="225">
        <v>4.3499999999999996</v>
      </c>
      <c r="Q184" s="225">
        <v>5.33</v>
      </c>
      <c r="R184" s="225">
        <v>4.4400000000000004</v>
      </c>
      <c r="S184" s="225">
        <v>4.45</v>
      </c>
      <c r="T184" s="225">
        <v>4.2612499999999995</v>
      </c>
    </row>
    <row r="185" spans="2:20" x14ac:dyDescent="0.55000000000000004">
      <c r="B185" s="54" t="s">
        <v>413</v>
      </c>
      <c r="C185" s="225">
        <v>10.16</v>
      </c>
      <c r="D185" s="225">
        <v>10.27</v>
      </c>
      <c r="E185" s="225">
        <v>10.65</v>
      </c>
      <c r="F185" s="225">
        <v>10.57</v>
      </c>
      <c r="G185" s="225">
        <v>9.32</v>
      </c>
      <c r="H185" s="225">
        <v>9.06</v>
      </c>
      <c r="I185" s="225">
        <v>11.3</v>
      </c>
      <c r="J185" s="225">
        <v>11.3</v>
      </c>
      <c r="K185" s="225">
        <v>10.78</v>
      </c>
      <c r="L185" s="225">
        <v>10.18</v>
      </c>
      <c r="M185" s="225">
        <v>8.73</v>
      </c>
      <c r="N185" s="225">
        <v>8.57</v>
      </c>
      <c r="O185" s="225">
        <v>9.6300000000000008</v>
      </c>
      <c r="P185" s="225">
        <v>9.6300000000000008</v>
      </c>
      <c r="Q185" s="225">
        <v>8.48</v>
      </c>
      <c r="R185" s="225">
        <v>8.07</v>
      </c>
      <c r="S185" s="225">
        <v>10</v>
      </c>
      <c r="T185" s="225">
        <v>9.7837499999999995</v>
      </c>
    </row>
    <row r="186" spans="2:20" x14ac:dyDescent="0.55000000000000004">
      <c r="B186" s="54" t="s">
        <v>507</v>
      </c>
      <c r="C186" s="225">
        <v>6.2025000000000006</v>
      </c>
      <c r="D186" s="225">
        <v>6.47</v>
      </c>
      <c r="E186" s="225">
        <v>5.23</v>
      </c>
      <c r="F186" s="225">
        <v>5.47</v>
      </c>
      <c r="G186" s="225">
        <v>4.25</v>
      </c>
      <c r="H186" s="225">
        <v>5.13</v>
      </c>
      <c r="I186" s="225">
        <v>4.95</v>
      </c>
      <c r="J186" s="225">
        <v>5.2</v>
      </c>
      <c r="K186" s="225">
        <v>8.42</v>
      </c>
      <c r="L186" s="225">
        <v>7.48</v>
      </c>
      <c r="M186" s="225">
        <v>7.56</v>
      </c>
      <c r="N186" s="225">
        <v>8.7899999999999991</v>
      </c>
      <c r="O186" s="225">
        <v>9.5</v>
      </c>
      <c r="P186" s="225">
        <v>9.5</v>
      </c>
      <c r="Q186" s="225">
        <v>12.26</v>
      </c>
      <c r="R186" s="225">
        <v>8.67</v>
      </c>
      <c r="S186" s="225">
        <v>12.21</v>
      </c>
      <c r="T186" s="225">
        <v>7.5681250000000002</v>
      </c>
    </row>
    <row r="187" spans="2:20" x14ac:dyDescent="0.55000000000000004">
      <c r="B187" s="54" t="s">
        <v>508</v>
      </c>
      <c r="C187" s="225">
        <v>5.3450000000000006</v>
      </c>
      <c r="D187" s="225">
        <v>6.07</v>
      </c>
      <c r="E187" s="225">
        <v>6.5</v>
      </c>
      <c r="F187" s="225">
        <v>6.44</v>
      </c>
      <c r="G187" s="225">
        <v>4.75</v>
      </c>
      <c r="H187" s="225">
        <v>4.2300000000000004</v>
      </c>
      <c r="I187" s="225">
        <v>4.6900000000000004</v>
      </c>
      <c r="J187" s="225">
        <v>5.82</v>
      </c>
      <c r="K187" s="225">
        <v>6.86</v>
      </c>
      <c r="L187" s="225">
        <v>7.27</v>
      </c>
      <c r="M187" s="225">
        <v>5.09</v>
      </c>
      <c r="N187" s="225">
        <v>5.39</v>
      </c>
      <c r="O187" s="225">
        <v>5.96</v>
      </c>
      <c r="P187" s="225">
        <v>5.96</v>
      </c>
      <c r="Q187" s="225">
        <v>8.61</v>
      </c>
      <c r="R187" s="225">
        <v>6.79</v>
      </c>
      <c r="S187" s="225">
        <v>4.47</v>
      </c>
      <c r="T187" s="225">
        <v>5.9312499999999995</v>
      </c>
    </row>
    <row r="188" spans="2:20" x14ac:dyDescent="0.55000000000000004">
      <c r="B188" s="54" t="s">
        <v>509</v>
      </c>
      <c r="C188" s="225">
        <v>20.225000000000001</v>
      </c>
      <c r="D188" s="225">
        <v>19.670000000000002</v>
      </c>
      <c r="E188" s="225">
        <v>20.399999999999999</v>
      </c>
      <c r="F188" s="225">
        <v>20.399999999999999</v>
      </c>
      <c r="G188" s="225">
        <v>20.38</v>
      </c>
      <c r="H188" s="225">
        <v>19.850000000000001</v>
      </c>
      <c r="I188" s="225">
        <v>18.5</v>
      </c>
      <c r="J188" s="225">
        <v>18.420000000000002</v>
      </c>
      <c r="K188" s="225">
        <v>17.53</v>
      </c>
      <c r="L188" s="225">
        <v>19.57</v>
      </c>
      <c r="M188" s="225">
        <v>19.05</v>
      </c>
      <c r="N188" s="225">
        <v>18.78</v>
      </c>
      <c r="O188" s="225">
        <v>22.15</v>
      </c>
      <c r="P188" s="225">
        <v>22.15</v>
      </c>
      <c r="Q188" s="225">
        <v>18.649999999999999</v>
      </c>
      <c r="R188" s="225">
        <v>17.72</v>
      </c>
      <c r="S188" s="225">
        <v>16.149999999999999</v>
      </c>
      <c r="T188" s="225">
        <v>19.335625</v>
      </c>
    </row>
    <row r="189" spans="2:20" x14ac:dyDescent="0.55000000000000004">
      <c r="B189" s="54" t="s">
        <v>510</v>
      </c>
      <c r="C189" s="225">
        <v>14.717499999999999</v>
      </c>
      <c r="D189" s="225">
        <v>14.24</v>
      </c>
      <c r="E189" s="225">
        <v>14.75</v>
      </c>
      <c r="F189" s="225">
        <v>14.75</v>
      </c>
      <c r="G189" s="225">
        <v>15.35</v>
      </c>
      <c r="H189" s="225">
        <v>14.96</v>
      </c>
      <c r="I189" s="225">
        <v>15.12</v>
      </c>
      <c r="J189" s="225">
        <v>20.6</v>
      </c>
      <c r="K189" s="225">
        <v>14.34</v>
      </c>
      <c r="L189" s="225">
        <v>14.12</v>
      </c>
      <c r="M189" s="225">
        <v>14.42</v>
      </c>
      <c r="N189" s="225">
        <v>14.16</v>
      </c>
      <c r="O189" s="225">
        <v>14.04</v>
      </c>
      <c r="P189" s="225">
        <v>14.04</v>
      </c>
      <c r="Q189" s="225">
        <v>13.99</v>
      </c>
      <c r="R189" s="225">
        <v>13.25</v>
      </c>
      <c r="S189" s="225">
        <v>13.25</v>
      </c>
      <c r="T189" s="225">
        <v>14.71125</v>
      </c>
    </row>
    <row r="190" spans="2:20" x14ac:dyDescent="0.55000000000000004">
      <c r="B190" s="56" t="s">
        <v>511</v>
      </c>
      <c r="C190" s="225">
        <v>6.3774999999999995</v>
      </c>
      <c r="D190" s="225">
        <v>5.98</v>
      </c>
      <c r="E190" s="225">
        <v>5.27</v>
      </c>
      <c r="F190" s="225">
        <v>5.79</v>
      </c>
      <c r="G190" s="225">
        <v>4.88</v>
      </c>
      <c r="H190" s="225">
        <v>5.0999999999999996</v>
      </c>
      <c r="I190" s="225">
        <v>5.79</v>
      </c>
      <c r="J190" s="225">
        <v>7.69</v>
      </c>
      <c r="K190" s="225">
        <v>7.38</v>
      </c>
      <c r="L190" s="225">
        <v>8.31</v>
      </c>
      <c r="M190" s="225">
        <v>8.6999999999999993</v>
      </c>
      <c r="N190" s="225">
        <v>7.82</v>
      </c>
      <c r="O190" s="225">
        <v>9.35</v>
      </c>
      <c r="P190" s="225">
        <v>9.35</v>
      </c>
      <c r="Q190" s="225">
        <v>10.47</v>
      </c>
      <c r="R190" s="225">
        <v>8.49</v>
      </c>
      <c r="S190" s="225">
        <v>10.19</v>
      </c>
      <c r="T190" s="225">
        <v>7.5349999999999993</v>
      </c>
    </row>
    <row r="191" spans="2:20" x14ac:dyDescent="0.55000000000000004">
      <c r="B191" s="56" t="s">
        <v>512</v>
      </c>
      <c r="C191" s="225">
        <v>19.035</v>
      </c>
      <c r="D191" s="225">
        <v>18.420000000000002</v>
      </c>
      <c r="E191" s="225">
        <v>19.059999999999999</v>
      </c>
      <c r="F191" s="225">
        <v>18.95</v>
      </c>
      <c r="G191" s="225">
        <v>19.829999999999998</v>
      </c>
      <c r="H191" s="225">
        <v>19.38</v>
      </c>
      <c r="I191" s="225">
        <v>19.510000000000002</v>
      </c>
      <c r="J191" s="225">
        <v>19.39</v>
      </c>
      <c r="K191" s="225">
        <v>18.61</v>
      </c>
      <c r="L191" s="225">
        <v>18.190000000000001</v>
      </c>
      <c r="M191" s="225">
        <v>18.52</v>
      </c>
      <c r="N191" s="225">
        <v>18.190000000000001</v>
      </c>
      <c r="O191" s="225">
        <v>18.190000000000001</v>
      </c>
      <c r="P191" s="225">
        <v>18.190000000000001</v>
      </c>
      <c r="Q191" s="225">
        <v>18.100000000000001</v>
      </c>
      <c r="R191" s="225">
        <v>17.22</v>
      </c>
      <c r="S191" s="225">
        <v>17.14</v>
      </c>
      <c r="T191" s="225">
        <v>18.555624999999999</v>
      </c>
    </row>
    <row r="192" spans="2:20" x14ac:dyDescent="0.55000000000000004">
      <c r="B192" s="56" t="s">
        <v>513</v>
      </c>
      <c r="C192" s="225">
        <v>11.2325</v>
      </c>
      <c r="D192" s="225">
        <v>10.81</v>
      </c>
      <c r="E192" s="225">
        <v>11.18</v>
      </c>
      <c r="F192" s="225">
        <v>11.18</v>
      </c>
      <c r="G192" s="225">
        <v>11.18</v>
      </c>
      <c r="H192" s="225">
        <v>11.62</v>
      </c>
      <c r="I192" s="225">
        <v>11.35</v>
      </c>
      <c r="J192" s="225">
        <v>11.45</v>
      </c>
      <c r="K192" s="225">
        <v>11.33</v>
      </c>
      <c r="L192" s="225">
        <v>10.9</v>
      </c>
      <c r="M192" s="225">
        <v>10.73</v>
      </c>
      <c r="N192" s="225">
        <v>10.9</v>
      </c>
      <c r="O192" s="225">
        <v>10.78</v>
      </c>
      <c r="P192" s="225">
        <v>10.78</v>
      </c>
      <c r="Q192" s="225">
        <v>10.63</v>
      </c>
      <c r="R192" s="225">
        <v>10.09</v>
      </c>
      <c r="S192" s="225">
        <v>10.029999999999999</v>
      </c>
      <c r="T192" s="225">
        <v>10.93375</v>
      </c>
    </row>
    <row r="193" spans="2:20" x14ac:dyDescent="0.55000000000000004">
      <c r="B193" s="56" t="s">
        <v>514</v>
      </c>
      <c r="C193" s="225">
        <v>8.8925000000000001</v>
      </c>
      <c r="D193" s="225">
        <v>8.58</v>
      </c>
      <c r="E193" s="225">
        <v>8.89</v>
      </c>
      <c r="F193" s="225">
        <v>8.81</v>
      </c>
      <c r="G193" s="225">
        <v>9.2100000000000009</v>
      </c>
      <c r="H193" s="225">
        <v>9.0500000000000007</v>
      </c>
      <c r="I193" s="225">
        <v>9.1300000000000008</v>
      </c>
      <c r="J193" s="225">
        <v>9.0500000000000007</v>
      </c>
      <c r="K193" s="225">
        <v>8.65</v>
      </c>
      <c r="L193" s="225">
        <v>8.5</v>
      </c>
      <c r="M193" s="225">
        <v>8.65</v>
      </c>
      <c r="N193" s="225">
        <v>8.5</v>
      </c>
      <c r="O193" s="225">
        <v>8.5</v>
      </c>
      <c r="P193" s="225">
        <v>8.5</v>
      </c>
      <c r="Q193" s="225">
        <v>8.43</v>
      </c>
      <c r="R193" s="225">
        <v>8.02</v>
      </c>
      <c r="S193" s="225">
        <v>7.94</v>
      </c>
      <c r="T193" s="225">
        <v>8.6506250000000016</v>
      </c>
    </row>
    <row r="194" spans="2:20" x14ac:dyDescent="0.55000000000000004">
      <c r="B194" s="56" t="s">
        <v>515</v>
      </c>
      <c r="C194" s="225">
        <v>6.39</v>
      </c>
      <c r="D194" s="225">
        <v>7.22</v>
      </c>
      <c r="E194" s="225">
        <v>7.49</v>
      </c>
      <c r="F194" s="225">
        <v>5.52</v>
      </c>
      <c r="G194" s="225">
        <v>5.78</v>
      </c>
      <c r="H194" s="225">
        <v>5.65</v>
      </c>
      <c r="I194" s="225">
        <v>5.65</v>
      </c>
      <c r="J194" s="225">
        <v>5.72</v>
      </c>
      <c r="K194" s="225">
        <v>9.52</v>
      </c>
      <c r="L194" s="225">
        <v>6.83</v>
      </c>
      <c r="M194" s="225">
        <v>5.39</v>
      </c>
      <c r="N194" s="225">
        <v>6.77</v>
      </c>
      <c r="O194" s="225">
        <v>6.77</v>
      </c>
      <c r="P194" s="225">
        <v>6.77</v>
      </c>
      <c r="Q194" s="225">
        <v>6.7</v>
      </c>
      <c r="R194" s="225">
        <v>6.38</v>
      </c>
      <c r="S194" s="225">
        <v>6.38</v>
      </c>
      <c r="T194" s="225">
        <v>6.5337499999999986</v>
      </c>
    </row>
    <row r="195" spans="2:20" x14ac:dyDescent="0.55000000000000004">
      <c r="B195" s="56" t="s">
        <v>516</v>
      </c>
      <c r="C195" s="225">
        <v>14.327500000000001</v>
      </c>
      <c r="D195" s="225">
        <v>13.82</v>
      </c>
      <c r="E195" s="225">
        <v>14.35</v>
      </c>
      <c r="F195" s="225">
        <v>14.26</v>
      </c>
      <c r="G195" s="225">
        <v>14.95</v>
      </c>
      <c r="H195" s="225">
        <v>14.61</v>
      </c>
      <c r="I195" s="225">
        <v>14.69</v>
      </c>
      <c r="J195" s="225">
        <v>14.61</v>
      </c>
      <c r="K195" s="225">
        <v>14.01</v>
      </c>
      <c r="L195" s="225">
        <v>13.75</v>
      </c>
      <c r="M195" s="225">
        <v>14.01</v>
      </c>
      <c r="N195" s="225">
        <v>13.75</v>
      </c>
      <c r="O195" s="225">
        <v>13.66</v>
      </c>
      <c r="P195" s="225">
        <v>13.66</v>
      </c>
      <c r="Q195" s="225">
        <v>13.57</v>
      </c>
      <c r="R195" s="225">
        <v>12.97</v>
      </c>
      <c r="S195" s="225">
        <v>12.88</v>
      </c>
      <c r="T195" s="225">
        <v>13.971874999999999</v>
      </c>
    </row>
    <row r="196" spans="2:20" x14ac:dyDescent="0.55000000000000004">
      <c r="B196" s="56" t="s">
        <v>517</v>
      </c>
      <c r="C196" s="225">
        <v>20.162499999999998</v>
      </c>
      <c r="D196" s="225">
        <v>19.489999999999998</v>
      </c>
      <c r="E196" s="225">
        <v>20.190000000000001</v>
      </c>
      <c r="F196" s="225">
        <v>20.079999999999998</v>
      </c>
      <c r="G196" s="225">
        <v>21.03</v>
      </c>
      <c r="H196" s="225">
        <v>20.53</v>
      </c>
      <c r="I196" s="225">
        <v>20.69</v>
      </c>
      <c r="J196" s="225">
        <v>20.6</v>
      </c>
      <c r="K196" s="225">
        <v>19.62</v>
      </c>
      <c r="L196" s="225">
        <v>19.32</v>
      </c>
      <c r="M196" s="225">
        <v>19.649999999999999</v>
      </c>
      <c r="N196" s="225">
        <v>19.32</v>
      </c>
      <c r="O196" s="225">
        <v>19.239999999999998</v>
      </c>
      <c r="P196" s="225">
        <v>19.239999999999998</v>
      </c>
      <c r="Q196" s="225">
        <v>19.149999999999999</v>
      </c>
      <c r="R196" s="225">
        <v>18.260000000000002</v>
      </c>
      <c r="S196" s="225">
        <v>18.12</v>
      </c>
      <c r="T196" s="225">
        <v>19.658124999999998</v>
      </c>
    </row>
    <row r="197" spans="2:20" x14ac:dyDescent="0.55000000000000004">
      <c r="B197" s="56" t="s">
        <v>518</v>
      </c>
      <c r="C197" s="225">
        <v>16.0975</v>
      </c>
      <c r="D197" s="225">
        <v>15.57</v>
      </c>
      <c r="E197" s="225">
        <v>16.13</v>
      </c>
      <c r="F197" s="225">
        <v>16.07</v>
      </c>
      <c r="G197" s="225">
        <v>16.77</v>
      </c>
      <c r="H197" s="225">
        <v>16.39</v>
      </c>
      <c r="I197" s="225">
        <v>16.510000000000002</v>
      </c>
      <c r="J197" s="225">
        <v>16.39</v>
      </c>
      <c r="K197" s="225">
        <v>15.75</v>
      </c>
      <c r="L197" s="225">
        <v>15.41</v>
      </c>
      <c r="M197" s="225">
        <v>15.69</v>
      </c>
      <c r="N197" s="225">
        <v>15.41</v>
      </c>
      <c r="O197" s="225">
        <v>15.36</v>
      </c>
      <c r="P197" s="225">
        <v>15.36</v>
      </c>
      <c r="Q197" s="225">
        <v>15.31</v>
      </c>
      <c r="R197" s="225">
        <v>14.54</v>
      </c>
      <c r="S197" s="225">
        <v>14.46</v>
      </c>
      <c r="T197" s="225">
        <v>15.695</v>
      </c>
    </row>
    <row r="198" spans="2:20" x14ac:dyDescent="0.55000000000000004">
      <c r="B198" s="56" t="s">
        <v>519</v>
      </c>
      <c r="C198" s="225">
        <v>20.847499999999997</v>
      </c>
      <c r="D198" s="225">
        <v>20.149999999999999</v>
      </c>
      <c r="E198" s="225">
        <v>20.91</v>
      </c>
      <c r="F198" s="225">
        <v>20.79</v>
      </c>
      <c r="G198" s="225">
        <v>21.72</v>
      </c>
      <c r="H198" s="225">
        <v>21.22</v>
      </c>
      <c r="I198" s="225">
        <v>21.41</v>
      </c>
      <c r="J198" s="225">
        <v>21.22</v>
      </c>
      <c r="K198" s="225">
        <v>20.34</v>
      </c>
      <c r="L198" s="225">
        <v>19.97</v>
      </c>
      <c r="M198" s="225">
        <v>20.29</v>
      </c>
      <c r="N198" s="225">
        <v>19.97</v>
      </c>
      <c r="O198" s="225">
        <v>19.850000000000001</v>
      </c>
      <c r="P198" s="225">
        <v>19.850000000000001</v>
      </c>
      <c r="Q198" s="225">
        <v>19.78</v>
      </c>
      <c r="R198" s="225">
        <v>18.84</v>
      </c>
      <c r="S198" s="225">
        <v>18.71</v>
      </c>
      <c r="T198" s="225">
        <v>20.313749999999999</v>
      </c>
    </row>
    <row r="201" spans="2:20" x14ac:dyDescent="0.55000000000000004">
      <c r="C201" s="56" t="s">
        <v>506</v>
      </c>
    </row>
    <row r="202" spans="2:20" x14ac:dyDescent="0.55000000000000004">
      <c r="B202" s="56" t="s">
        <v>525</v>
      </c>
      <c r="C202" s="218" t="s">
        <v>487</v>
      </c>
      <c r="D202" s="56" t="s">
        <v>488</v>
      </c>
      <c r="E202" s="56" t="s">
        <v>489</v>
      </c>
      <c r="F202" s="56" t="s">
        <v>490</v>
      </c>
      <c r="G202" s="56" t="s">
        <v>491</v>
      </c>
      <c r="H202" s="56" t="s">
        <v>492</v>
      </c>
      <c r="I202" s="56" t="s">
        <v>493</v>
      </c>
      <c r="J202" s="56" t="s">
        <v>494</v>
      </c>
      <c r="K202" s="56" t="s">
        <v>495</v>
      </c>
      <c r="L202" s="56" t="s">
        <v>496</v>
      </c>
      <c r="M202" s="56" t="s">
        <v>497</v>
      </c>
      <c r="N202" s="56" t="s">
        <v>498</v>
      </c>
      <c r="O202" s="56" t="s">
        <v>499</v>
      </c>
      <c r="P202" s="56" t="s">
        <v>500</v>
      </c>
      <c r="Q202" s="56" t="s">
        <v>501</v>
      </c>
      <c r="R202" s="56" t="s">
        <v>502</v>
      </c>
      <c r="S202" s="56" t="s">
        <v>503</v>
      </c>
      <c r="T202" s="56" t="s">
        <v>522</v>
      </c>
    </row>
    <row r="203" spans="2:20" x14ac:dyDescent="0.55000000000000004">
      <c r="B203" s="56" t="s">
        <v>412</v>
      </c>
      <c r="C203" s="225">
        <v>7.5875000000000004</v>
      </c>
      <c r="D203" s="225">
        <v>7.85</v>
      </c>
      <c r="E203" s="225">
        <v>5.78</v>
      </c>
      <c r="F203" s="225">
        <v>7.31</v>
      </c>
      <c r="G203" s="225">
        <v>5.05</v>
      </c>
      <c r="H203" s="225">
        <v>5.61</v>
      </c>
      <c r="I203" s="225">
        <v>7.11</v>
      </c>
      <c r="J203" s="225">
        <v>8.27</v>
      </c>
      <c r="K203" s="225">
        <v>11.39</v>
      </c>
      <c r="L203" s="225">
        <v>10.18</v>
      </c>
      <c r="M203" s="225">
        <v>8.52</v>
      </c>
      <c r="N203" s="225">
        <v>8.57</v>
      </c>
      <c r="O203" s="225">
        <v>11.85</v>
      </c>
      <c r="P203" s="225">
        <v>11.85</v>
      </c>
      <c r="Q203" s="225">
        <v>15.32</v>
      </c>
      <c r="R203" s="225">
        <v>15.32</v>
      </c>
      <c r="S203" s="225">
        <v>9.6199999999999992</v>
      </c>
      <c r="T203" s="225">
        <v>9.35</v>
      </c>
    </row>
    <row r="204" spans="2:20" x14ac:dyDescent="0.55000000000000004">
      <c r="B204" s="56" t="s">
        <v>411</v>
      </c>
      <c r="C204" s="225">
        <v>6.7874999999999996</v>
      </c>
      <c r="D204" s="225">
        <v>6.35</v>
      </c>
      <c r="E204" s="225">
        <v>5.5</v>
      </c>
      <c r="F204" s="225">
        <v>5.37</v>
      </c>
      <c r="G204" s="225">
        <v>3.59</v>
      </c>
      <c r="H204" s="225">
        <v>6.04</v>
      </c>
      <c r="I204" s="225">
        <v>6.5</v>
      </c>
      <c r="J204" s="225">
        <v>7.63</v>
      </c>
      <c r="K204" s="225">
        <v>8.06</v>
      </c>
      <c r="L204" s="225">
        <v>7.34</v>
      </c>
      <c r="M204" s="225">
        <v>7.39</v>
      </c>
      <c r="N204" s="225">
        <v>7.31</v>
      </c>
      <c r="O204" s="225">
        <v>9.11</v>
      </c>
      <c r="P204" s="225">
        <v>9.11</v>
      </c>
      <c r="Q204" s="225">
        <v>12.46</v>
      </c>
      <c r="R204" s="225">
        <v>12.46</v>
      </c>
      <c r="S204" s="225">
        <v>9.44</v>
      </c>
      <c r="T204" s="225">
        <v>7.7287499999999998</v>
      </c>
    </row>
    <row r="205" spans="2:20" x14ac:dyDescent="0.55000000000000004">
      <c r="B205" s="56" t="s">
        <v>485</v>
      </c>
      <c r="C205" s="225">
        <v>6.915</v>
      </c>
      <c r="D205" s="225">
        <v>7.22</v>
      </c>
      <c r="E205" s="225">
        <v>7.16</v>
      </c>
      <c r="F205" s="225">
        <v>6.98</v>
      </c>
      <c r="G205" s="225">
        <v>5.28</v>
      </c>
      <c r="H205" s="225">
        <v>7.36</v>
      </c>
      <c r="I205" s="225">
        <v>6.69</v>
      </c>
      <c r="J205" s="225">
        <v>5.98</v>
      </c>
      <c r="K205" s="225">
        <v>5.93</v>
      </c>
      <c r="L205" s="225">
        <v>8.4499999999999993</v>
      </c>
      <c r="M205" s="225">
        <v>8.5299999999999994</v>
      </c>
      <c r="N205" s="225">
        <v>5.68</v>
      </c>
      <c r="O205" s="225">
        <v>6.45</v>
      </c>
      <c r="P205" s="225">
        <v>6.45</v>
      </c>
      <c r="Q205" s="225">
        <v>7.58</v>
      </c>
      <c r="R205" s="225">
        <v>7.58</v>
      </c>
      <c r="S205" s="225">
        <v>7.37</v>
      </c>
      <c r="T205" s="225">
        <v>6.9181249999999999</v>
      </c>
    </row>
    <row r="206" spans="2:20" x14ac:dyDescent="0.55000000000000004">
      <c r="B206" s="56" t="s">
        <v>413</v>
      </c>
      <c r="C206" s="225">
        <v>13.295</v>
      </c>
      <c r="D206" s="225">
        <v>13.44</v>
      </c>
      <c r="E206" s="225">
        <v>13.89</v>
      </c>
      <c r="F206" s="225">
        <v>13.8</v>
      </c>
      <c r="G206" s="225">
        <v>12.17</v>
      </c>
      <c r="H206" s="225">
        <v>11.88</v>
      </c>
      <c r="I206" s="225">
        <v>14.8</v>
      </c>
      <c r="J206" s="225">
        <v>14.8</v>
      </c>
      <c r="K206" s="225">
        <v>14.14</v>
      </c>
      <c r="L206" s="225">
        <v>13.35</v>
      </c>
      <c r="M206" s="225">
        <v>11.41</v>
      </c>
      <c r="N206" s="225">
        <v>11.22</v>
      </c>
      <c r="O206" s="225">
        <v>12.61</v>
      </c>
      <c r="P206" s="225">
        <v>12.61</v>
      </c>
      <c r="Q206" s="225">
        <v>11.12</v>
      </c>
      <c r="R206" s="225">
        <v>11.12</v>
      </c>
      <c r="S206" s="225">
        <v>13</v>
      </c>
      <c r="T206" s="225">
        <v>12.835000000000001</v>
      </c>
    </row>
    <row r="207" spans="2:20" x14ac:dyDescent="0.55000000000000004">
      <c r="B207" s="56" t="s">
        <v>507</v>
      </c>
      <c r="C207" s="225">
        <v>8.9375</v>
      </c>
      <c r="D207" s="225">
        <v>8.99</v>
      </c>
      <c r="E207" s="225">
        <v>7.69</v>
      </c>
      <c r="F207" s="225">
        <v>8.08</v>
      </c>
      <c r="G207" s="225">
        <v>6.45</v>
      </c>
      <c r="H207" s="225">
        <v>7.82</v>
      </c>
      <c r="I207" s="225">
        <v>7.52</v>
      </c>
      <c r="J207" s="225">
        <v>7.71</v>
      </c>
      <c r="K207" s="225">
        <v>11.41</v>
      </c>
      <c r="L207" s="225">
        <v>10.38</v>
      </c>
      <c r="M207" s="225">
        <v>10.27</v>
      </c>
      <c r="N207" s="225">
        <v>12.24</v>
      </c>
      <c r="O207" s="225">
        <v>12.72</v>
      </c>
      <c r="P207" s="225">
        <v>12.72</v>
      </c>
      <c r="Q207" s="225">
        <v>16.010000000000002</v>
      </c>
      <c r="R207" s="225">
        <v>16.010000000000002</v>
      </c>
      <c r="S207" s="225">
        <v>15.98</v>
      </c>
      <c r="T207" s="225">
        <v>10.749999999999998</v>
      </c>
    </row>
    <row r="208" spans="2:20" x14ac:dyDescent="0.55000000000000004">
      <c r="B208" s="56" t="s">
        <v>508</v>
      </c>
      <c r="C208" s="225">
        <v>7.7799999999999994</v>
      </c>
      <c r="D208" s="225">
        <v>8.33</v>
      </c>
      <c r="E208" s="225">
        <v>9.5500000000000007</v>
      </c>
      <c r="F208" s="225">
        <v>9.0299999999999994</v>
      </c>
      <c r="G208" s="225">
        <v>6.99</v>
      </c>
      <c r="H208" s="225">
        <v>6.13</v>
      </c>
      <c r="I208" s="225">
        <v>7.04</v>
      </c>
      <c r="J208" s="225">
        <v>8.26</v>
      </c>
      <c r="K208" s="225">
        <v>9.7200000000000006</v>
      </c>
      <c r="L208" s="225">
        <v>9.99</v>
      </c>
      <c r="M208" s="225">
        <v>7.13</v>
      </c>
      <c r="N208" s="225">
        <v>7.65</v>
      </c>
      <c r="O208" s="225">
        <v>8.4</v>
      </c>
      <c r="P208" s="225">
        <v>8.4</v>
      </c>
      <c r="Q208" s="225">
        <v>11.41</v>
      </c>
      <c r="R208" s="225">
        <v>11.41</v>
      </c>
      <c r="S208" s="225">
        <v>6.34</v>
      </c>
      <c r="T208" s="225">
        <v>8.4862500000000018</v>
      </c>
    </row>
    <row r="209" spans="2:20" x14ac:dyDescent="0.55000000000000004">
      <c r="B209" s="56" t="s">
        <v>509</v>
      </c>
      <c r="C209" s="225">
        <v>26.419999999999998</v>
      </c>
      <c r="D209" s="225">
        <v>25.69</v>
      </c>
      <c r="E209" s="225">
        <v>26.64</v>
      </c>
      <c r="F209" s="225">
        <v>26.64</v>
      </c>
      <c r="G209" s="225">
        <v>26.64</v>
      </c>
      <c r="H209" s="225">
        <v>25.88</v>
      </c>
      <c r="I209" s="225">
        <v>24.24</v>
      </c>
      <c r="J209" s="225">
        <v>23.98</v>
      </c>
      <c r="K209" s="225">
        <v>22.81</v>
      </c>
      <c r="L209" s="225">
        <v>25.57</v>
      </c>
      <c r="M209" s="225">
        <v>24.81</v>
      </c>
      <c r="N209" s="225">
        <v>24.51</v>
      </c>
      <c r="O209" s="225">
        <v>28.92</v>
      </c>
      <c r="P209" s="225">
        <v>28.92</v>
      </c>
      <c r="Q209" s="225">
        <v>24.36</v>
      </c>
      <c r="R209" s="225">
        <v>24.36</v>
      </c>
      <c r="S209" s="225">
        <v>21.13</v>
      </c>
      <c r="T209" s="225">
        <v>25.318750000000005</v>
      </c>
    </row>
    <row r="210" spans="2:20" x14ac:dyDescent="0.55000000000000004">
      <c r="B210" s="56" t="s">
        <v>510</v>
      </c>
      <c r="C210" s="225">
        <v>19.197500000000002</v>
      </c>
      <c r="D210" s="225">
        <v>18.670000000000002</v>
      </c>
      <c r="E210" s="225">
        <v>19.23</v>
      </c>
      <c r="F210" s="225">
        <v>19.23</v>
      </c>
      <c r="G210" s="225">
        <v>20.059999999999999</v>
      </c>
      <c r="H210" s="225">
        <v>19.5</v>
      </c>
      <c r="I210" s="225">
        <v>19.760000000000002</v>
      </c>
      <c r="J210" s="225">
        <v>26.87</v>
      </c>
      <c r="K210" s="225">
        <v>18.88</v>
      </c>
      <c r="L210" s="225">
        <v>18.38</v>
      </c>
      <c r="M210" s="225">
        <v>18.850000000000001</v>
      </c>
      <c r="N210" s="225">
        <v>18.440000000000001</v>
      </c>
      <c r="O210" s="225">
        <v>18.3</v>
      </c>
      <c r="P210" s="225">
        <v>18.3</v>
      </c>
      <c r="Q210" s="225">
        <v>18.25</v>
      </c>
      <c r="R210" s="225">
        <v>18.25</v>
      </c>
      <c r="S210" s="225">
        <v>17.28</v>
      </c>
      <c r="T210" s="225">
        <v>19.265625</v>
      </c>
    </row>
    <row r="211" spans="2:20" x14ac:dyDescent="0.55000000000000004">
      <c r="B211" s="56" t="s">
        <v>511</v>
      </c>
      <c r="C211" s="225">
        <v>9.3050000000000015</v>
      </c>
      <c r="D211" s="225">
        <v>8.27</v>
      </c>
      <c r="E211" s="225">
        <v>8.01</v>
      </c>
      <c r="F211" s="225">
        <v>8.2799999999999994</v>
      </c>
      <c r="G211" s="225">
        <v>7.45</v>
      </c>
      <c r="H211" s="225">
        <v>7.86</v>
      </c>
      <c r="I211" s="225">
        <v>8.4700000000000006</v>
      </c>
      <c r="J211" s="225">
        <v>10.39</v>
      </c>
      <c r="K211" s="225">
        <v>9.9499999999999993</v>
      </c>
      <c r="L211" s="225">
        <v>11.5</v>
      </c>
      <c r="M211" s="225">
        <v>11.86</v>
      </c>
      <c r="N211" s="225">
        <v>11</v>
      </c>
      <c r="O211" s="225">
        <v>12.88</v>
      </c>
      <c r="P211" s="225">
        <v>12.88</v>
      </c>
      <c r="Q211" s="225">
        <v>13.96</v>
      </c>
      <c r="R211" s="225">
        <v>13.96</v>
      </c>
      <c r="S211" s="225">
        <v>13.27</v>
      </c>
      <c r="T211" s="225">
        <v>10.624375000000002</v>
      </c>
    </row>
    <row r="212" spans="2:20" x14ac:dyDescent="0.55000000000000004">
      <c r="B212" s="56" t="s">
        <v>512</v>
      </c>
      <c r="C212" s="225">
        <v>24.6675</v>
      </c>
      <c r="D212" s="225">
        <v>24.01</v>
      </c>
      <c r="E212" s="225">
        <v>24.06</v>
      </c>
      <c r="F212" s="225">
        <v>24.75</v>
      </c>
      <c r="G212" s="225">
        <v>25.85</v>
      </c>
      <c r="H212" s="225">
        <v>25.36</v>
      </c>
      <c r="I212" s="225">
        <v>25.49</v>
      </c>
      <c r="J212" s="225">
        <v>25.39</v>
      </c>
      <c r="K212" s="225">
        <v>24.41</v>
      </c>
      <c r="L212" s="225">
        <v>23.76</v>
      </c>
      <c r="M212" s="225">
        <v>24.25</v>
      </c>
      <c r="N212" s="225">
        <v>23.76</v>
      </c>
      <c r="O212" s="225">
        <v>23.76</v>
      </c>
      <c r="P212" s="225">
        <v>23.76</v>
      </c>
      <c r="Q212" s="225">
        <v>23.64</v>
      </c>
      <c r="R212" s="225">
        <v>23.64</v>
      </c>
      <c r="S212" s="225">
        <v>22.45</v>
      </c>
      <c r="T212" s="225">
        <v>24.271249999999995</v>
      </c>
    </row>
    <row r="213" spans="2:20" x14ac:dyDescent="0.55000000000000004">
      <c r="B213" s="56" t="s">
        <v>513</v>
      </c>
      <c r="C213" s="225">
        <v>14.59</v>
      </c>
      <c r="D213" s="225">
        <v>14.13</v>
      </c>
      <c r="E213" s="225">
        <v>14.65</v>
      </c>
      <c r="F213" s="225">
        <v>14.65</v>
      </c>
      <c r="G213" s="225">
        <v>15.15</v>
      </c>
      <c r="H213" s="225">
        <v>14.84</v>
      </c>
      <c r="I213" s="225">
        <v>14.96</v>
      </c>
      <c r="J213" s="225">
        <v>14.86</v>
      </c>
      <c r="K213" s="225">
        <v>14.2</v>
      </c>
      <c r="L213" s="225">
        <v>14.03</v>
      </c>
      <c r="M213" s="225">
        <v>14.22</v>
      </c>
      <c r="N213" s="225">
        <v>14.03</v>
      </c>
      <c r="O213" s="225">
        <v>13.91</v>
      </c>
      <c r="P213" s="225">
        <v>13.91</v>
      </c>
      <c r="Q213" s="225">
        <v>13.91</v>
      </c>
      <c r="R213" s="225">
        <v>13.91</v>
      </c>
      <c r="S213" s="225">
        <v>13.12</v>
      </c>
      <c r="T213" s="225">
        <v>14.28</v>
      </c>
    </row>
    <row r="214" spans="2:20" x14ac:dyDescent="0.55000000000000004">
      <c r="B214" s="56" t="s">
        <v>514</v>
      </c>
      <c r="C214" s="225">
        <v>12.27</v>
      </c>
      <c r="D214" s="225">
        <v>11.8</v>
      </c>
      <c r="E214" s="225">
        <v>12.25</v>
      </c>
      <c r="F214" s="225">
        <v>12.16</v>
      </c>
      <c r="G214" s="225">
        <v>12.71</v>
      </c>
      <c r="H214" s="225">
        <v>12.52</v>
      </c>
      <c r="I214" s="225">
        <v>12.61</v>
      </c>
      <c r="J214" s="225">
        <v>12.52</v>
      </c>
      <c r="K214" s="225">
        <v>11.98</v>
      </c>
      <c r="L214" s="225">
        <v>11.7</v>
      </c>
      <c r="M214" s="225">
        <v>11.98</v>
      </c>
      <c r="N214" s="225">
        <v>11.7</v>
      </c>
      <c r="O214" s="225">
        <v>11.7</v>
      </c>
      <c r="P214" s="225">
        <v>11.7</v>
      </c>
      <c r="Q214" s="225">
        <v>11.62</v>
      </c>
      <c r="R214" s="225">
        <v>11.62</v>
      </c>
      <c r="S214" s="225">
        <v>10.99</v>
      </c>
      <c r="T214" s="225">
        <v>11.9725</v>
      </c>
    </row>
    <row r="215" spans="2:20" x14ac:dyDescent="0.55000000000000004">
      <c r="B215" s="56" t="s">
        <v>515</v>
      </c>
      <c r="C215" s="225">
        <v>9.3475000000000001</v>
      </c>
      <c r="D215" s="225">
        <v>10.57</v>
      </c>
      <c r="E215" s="225">
        <v>10.96</v>
      </c>
      <c r="F215" s="225">
        <v>8.0299999999999994</v>
      </c>
      <c r="G215" s="225">
        <v>8.48</v>
      </c>
      <c r="H215" s="225">
        <v>8.26</v>
      </c>
      <c r="I215" s="225">
        <v>8.26</v>
      </c>
      <c r="J215" s="225">
        <v>8.34</v>
      </c>
      <c r="K215" s="225">
        <v>13.96</v>
      </c>
      <c r="L215" s="225">
        <v>9.98</v>
      </c>
      <c r="M215" s="225">
        <v>7.88</v>
      </c>
      <c r="N215" s="225">
        <v>9.91</v>
      </c>
      <c r="O215" s="225">
        <v>9.91</v>
      </c>
      <c r="P215" s="225">
        <v>9.91</v>
      </c>
      <c r="Q215" s="225">
        <v>9.83</v>
      </c>
      <c r="R215" s="225">
        <v>9.83</v>
      </c>
      <c r="S215" s="225">
        <v>9.31</v>
      </c>
      <c r="T215" s="225">
        <v>9.588750000000001</v>
      </c>
    </row>
    <row r="216" spans="2:20" x14ac:dyDescent="0.55000000000000004">
      <c r="B216" s="56" t="s">
        <v>516</v>
      </c>
      <c r="C216" s="225">
        <v>18.967500000000001</v>
      </c>
      <c r="D216" s="225">
        <v>18.28</v>
      </c>
      <c r="E216" s="225">
        <v>18.97</v>
      </c>
      <c r="F216" s="225">
        <v>18.88</v>
      </c>
      <c r="G216" s="225">
        <v>19.75</v>
      </c>
      <c r="H216" s="225">
        <v>19.37</v>
      </c>
      <c r="I216" s="225">
        <v>19.45</v>
      </c>
      <c r="J216" s="225">
        <v>19.37</v>
      </c>
      <c r="K216" s="225">
        <v>18.59</v>
      </c>
      <c r="L216" s="225">
        <v>18.170000000000002</v>
      </c>
      <c r="M216" s="225">
        <v>18.59</v>
      </c>
      <c r="N216" s="225">
        <v>18.170000000000002</v>
      </c>
      <c r="O216" s="225">
        <v>18.079999999999998</v>
      </c>
      <c r="P216" s="225">
        <v>18.079999999999998</v>
      </c>
      <c r="Q216" s="225">
        <v>17.989999999999998</v>
      </c>
      <c r="R216" s="225">
        <v>17.989999999999998</v>
      </c>
      <c r="S216" s="225">
        <v>17.09</v>
      </c>
      <c r="T216" s="225">
        <v>18.551249999999996</v>
      </c>
    </row>
    <row r="217" spans="2:20" x14ac:dyDescent="0.55000000000000004">
      <c r="B217" s="56" t="s">
        <v>517</v>
      </c>
      <c r="C217" s="225">
        <v>26.330000000000002</v>
      </c>
      <c r="D217" s="225">
        <v>25.43</v>
      </c>
      <c r="E217" s="225">
        <v>26.41</v>
      </c>
      <c r="F217" s="225">
        <v>26.21</v>
      </c>
      <c r="G217" s="225">
        <v>27.47</v>
      </c>
      <c r="H217" s="225">
        <v>26.8</v>
      </c>
      <c r="I217" s="225">
        <v>26.99</v>
      </c>
      <c r="J217" s="225">
        <v>26.87</v>
      </c>
      <c r="K217" s="225">
        <v>25.7</v>
      </c>
      <c r="L217" s="225">
        <v>25.23</v>
      </c>
      <c r="M217" s="225">
        <v>25.7</v>
      </c>
      <c r="N217" s="225">
        <v>25.23</v>
      </c>
      <c r="O217" s="225">
        <v>25.12</v>
      </c>
      <c r="P217" s="225">
        <v>25.12</v>
      </c>
      <c r="Q217" s="225">
        <v>25</v>
      </c>
      <c r="R217" s="225">
        <v>25</v>
      </c>
      <c r="S217" s="225">
        <v>23.61</v>
      </c>
      <c r="T217" s="225">
        <v>25.743125000000003</v>
      </c>
    </row>
    <row r="218" spans="2:20" x14ac:dyDescent="0.55000000000000004">
      <c r="B218" s="56" t="s">
        <v>518</v>
      </c>
      <c r="C218" s="225">
        <v>21.022500000000001</v>
      </c>
      <c r="D218" s="225">
        <v>20.38</v>
      </c>
      <c r="E218" s="225">
        <v>21.07</v>
      </c>
      <c r="F218" s="225">
        <v>20.99</v>
      </c>
      <c r="G218" s="225">
        <v>21.94</v>
      </c>
      <c r="H218" s="225">
        <v>21.43</v>
      </c>
      <c r="I218" s="225">
        <v>21.55</v>
      </c>
      <c r="J218" s="225">
        <v>21.43</v>
      </c>
      <c r="K218" s="225">
        <v>20.56</v>
      </c>
      <c r="L218" s="225">
        <v>20.12</v>
      </c>
      <c r="M218" s="225">
        <v>20.48</v>
      </c>
      <c r="N218" s="225">
        <v>20.12</v>
      </c>
      <c r="O218" s="225">
        <v>20.04</v>
      </c>
      <c r="P218" s="225">
        <v>20.04</v>
      </c>
      <c r="Q218" s="225">
        <v>19.989999999999998</v>
      </c>
      <c r="R218" s="225">
        <v>19.989999999999998</v>
      </c>
      <c r="S218" s="225">
        <v>18.920000000000002</v>
      </c>
      <c r="T218" s="225">
        <v>20.565625000000001</v>
      </c>
    </row>
    <row r="219" spans="2:20" x14ac:dyDescent="0.55000000000000004">
      <c r="B219" s="56" t="s">
        <v>519</v>
      </c>
      <c r="C219" s="225">
        <v>27.202499999999997</v>
      </c>
      <c r="D219" s="225">
        <v>26.35</v>
      </c>
      <c r="E219" s="225">
        <v>27.29</v>
      </c>
      <c r="F219" s="225">
        <v>27.17</v>
      </c>
      <c r="G219" s="225">
        <v>28.35</v>
      </c>
      <c r="H219" s="225">
        <v>27.67</v>
      </c>
      <c r="I219" s="225">
        <v>27.99</v>
      </c>
      <c r="J219" s="225">
        <v>27.67</v>
      </c>
      <c r="K219" s="225">
        <v>26.6</v>
      </c>
      <c r="L219" s="225">
        <v>26.11</v>
      </c>
      <c r="M219" s="225">
        <v>26.49</v>
      </c>
      <c r="N219" s="225">
        <v>26.11</v>
      </c>
      <c r="O219" s="225">
        <v>25.86</v>
      </c>
      <c r="P219" s="225">
        <v>25.86</v>
      </c>
      <c r="Q219" s="225">
        <v>25.79</v>
      </c>
      <c r="R219" s="225">
        <v>25.79</v>
      </c>
      <c r="S219" s="225">
        <v>24.47</v>
      </c>
      <c r="T219" s="225">
        <v>26.598125000000003</v>
      </c>
    </row>
    <row r="252" spans="2:3" x14ac:dyDescent="0.55000000000000004">
      <c r="B252" s="54" t="s">
        <v>141</v>
      </c>
      <c r="C252" s="226">
        <v>0.65</v>
      </c>
    </row>
    <row r="253" spans="2:3" x14ac:dyDescent="0.55000000000000004">
      <c r="B253" s="54" t="s">
        <v>431</v>
      </c>
      <c r="C253" s="226">
        <v>0.35</v>
      </c>
    </row>
    <row r="254" spans="2:3" x14ac:dyDescent="0.55000000000000004">
      <c r="B254" s="54"/>
      <c r="C254" s="226"/>
    </row>
    <row r="255" spans="2:3" x14ac:dyDescent="0.55000000000000004">
      <c r="B255" s="54"/>
    </row>
    <row r="256" spans="2:3" x14ac:dyDescent="0.55000000000000004">
      <c r="B256" s="54" t="s">
        <v>141</v>
      </c>
      <c r="C256" s="226">
        <v>0.65</v>
      </c>
    </row>
    <row r="257" spans="2:3" x14ac:dyDescent="0.55000000000000004">
      <c r="B257" s="54" t="s">
        <v>526</v>
      </c>
      <c r="C257" s="226">
        <v>0.18</v>
      </c>
    </row>
    <row r="258" spans="2:3" x14ac:dyDescent="0.55000000000000004">
      <c r="B258" s="54" t="s">
        <v>527</v>
      </c>
      <c r="C258" s="226">
        <v>0.12</v>
      </c>
    </row>
    <row r="259" spans="2:3" x14ac:dyDescent="0.55000000000000004">
      <c r="B259" s="54" t="s">
        <v>528</v>
      </c>
      <c r="C259" s="226">
        <v>0.05</v>
      </c>
    </row>
  </sheetData>
  <conditionalFormatting sqref="B2">
    <cfRule type="expression" dxfId="1" priority="1" stopIfTrue="1">
      <formula>B$3&lt;100%</formula>
    </cfRule>
    <cfRule type="expression" dxfId="0" priority="2" stopIfTrue="1">
      <formula>B$3&gt;100%</formula>
    </cfRule>
  </conditionalFormatting>
  <printOptions horizontalCentered="1"/>
  <pageMargins left="0.55118110236220474" right="0.55118110236220474" top="0.98425196850393704" bottom="0.98425196850393704" header="0.51181102362204722" footer="0.51181102362204722"/>
  <pageSetup scale="68" firstPageNumber="2" fitToWidth="2" pageOrder="overThenDown" orientation="portrait" useFirstPageNumber="1" r:id="rId1"/>
  <headerFooter scaleWithDoc="0" alignWithMargins="0">
    <oddHeader>&amp;L&amp;8Guidelines: Crop Production Costs
&amp;R&amp;8&amp;P</oddHeader>
    <oddFooter>&amp;R&amp;9Manitoba Agriculture, Food and Rural Development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anchor moveWithCells="1" sizeWithCells="1">
                  <from>
                    <xdr:col>1</xdr:col>
                    <xdr:colOff>125730</xdr:colOff>
                    <xdr:row>1</xdr:row>
                    <xdr:rowOff>11430</xdr:rowOff>
                  </from>
                  <to>
                    <xdr:col>1</xdr:col>
                    <xdr:colOff>1097280</xdr:colOff>
                    <xdr:row>2</xdr:row>
                    <xdr:rowOff>30480</xdr:rowOff>
                  </to>
                </anchor>
              </controlPr>
            </control>
          </mc:Choice>
        </mc:AlternateContent>
        <mc:AlternateContent xmlns:mc="http://schemas.openxmlformats.org/markup-compatibility/2006">
          <mc:Choice Requires="x14">
            <control shapeId="27650" r:id="rId5" name="Button 2">
              <controlPr defaultSize="0" print="0" autoFill="0" autoPict="0">
                <anchor moveWithCells="1" sizeWithCells="1">
                  <from>
                    <xdr:col>1</xdr:col>
                    <xdr:colOff>1543050</xdr:colOff>
                    <xdr:row>1</xdr:row>
                    <xdr:rowOff>11430</xdr:rowOff>
                  </from>
                  <to>
                    <xdr:col>3</xdr:col>
                    <xdr:colOff>266700</xdr:colOff>
                    <xdr:row>2</xdr:row>
                    <xdr:rowOff>11430</xdr:rowOff>
                  </to>
                </anchor>
              </controlPr>
            </control>
          </mc:Choice>
        </mc:AlternateContent>
        <mc:AlternateContent xmlns:mc="http://schemas.openxmlformats.org/markup-compatibility/2006">
          <mc:Choice Requires="x14">
            <control shapeId="27651" r:id="rId6" name="Button 3">
              <controlPr defaultSize="0" print="0" autoFill="0" autoPict="0">
                <anchor moveWithCells="1" sizeWithCells="1">
                  <from>
                    <xdr:col>3</xdr:col>
                    <xdr:colOff>678180</xdr:colOff>
                    <xdr:row>1</xdr:row>
                    <xdr:rowOff>11430</xdr:rowOff>
                  </from>
                  <to>
                    <xdr:col>6</xdr:col>
                    <xdr:colOff>0</xdr:colOff>
                    <xdr:row>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0BA68B53-283C-4543-BE62-9D0B90C4C04B}"/>
</file>

<file path=customXml/itemProps2.xml><?xml version="1.0" encoding="utf-8"?>
<ds:datastoreItem xmlns:ds="http://schemas.openxmlformats.org/officeDocument/2006/customXml" ds:itemID="{EFA92569-D547-4790-A078-C3EA9610B4E8}"/>
</file>

<file path=customXml/itemProps3.xml><?xml version="1.0" encoding="utf-8"?>
<ds:datastoreItem xmlns:ds="http://schemas.openxmlformats.org/officeDocument/2006/customXml" ds:itemID="{22C2D51F-A25E-4033-86AE-3FF08DF799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Summary</vt:lpstr>
      <vt:lpstr>Risk Analysis</vt:lpstr>
      <vt:lpstr>Input</vt:lpstr>
      <vt:lpstr>Details</vt:lpstr>
      <vt:lpstr>Charts HIDE)</vt:lpstr>
      <vt:lpstr>Chart data (HIDE)</vt:lpstr>
      <vt:lpstr>For PPT (HIDE)</vt:lpstr>
      <vt:lpstr>'Charts HIDE)'!Print_Area</vt:lpstr>
      <vt:lpstr>Details!Print_Area</vt:lpstr>
      <vt:lpstr>Introduction!Print_Area</vt:lpstr>
      <vt:lpstr>'Risk Analysis'!Print_Area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cop-crop-irrigated-potato</dc:title>
  <dc:creator>Arnott, Roy (MAFRI)</dc:creator>
  <cp:lastModifiedBy>Berthelette, Crystal</cp:lastModifiedBy>
  <cp:lastPrinted>2022-02-23T17:56:30Z</cp:lastPrinted>
  <dcterms:created xsi:type="dcterms:W3CDTF">1999-01-16T17:45:31Z</dcterms:created>
  <dcterms:modified xsi:type="dcterms:W3CDTF">2024-07-25T19:05:20Z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