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P:\D03\Farm Management\Production Economics\COP Livestock\COP Beef\2024\FINAL\"/>
    </mc:Choice>
  </mc:AlternateContent>
  <xr:revisionPtr revIDLastSave="0" documentId="13_ncr:1_{A4F82854-E2C2-4EDE-89B8-534F11D8F498}" xr6:coauthVersionLast="47" xr6:coauthVersionMax="47" xr10:uidLastSave="{00000000-0000-0000-0000-000000000000}"/>
  <workbookProtection workbookAlgorithmName="SHA-512" workbookHashValue="yyHHvA5EbI3VtvyYbRaJkLnzgueEcTvnknCa91eMbb0mmFF/FelD7uhdPsuwX0/xoxh29KAC2sjVa/hK2enbFg==" workbookSaltValue="mt+06uI+8sllRSjJidgn4Q==" workbookSpinCount="100000" lockStructure="1"/>
  <bookViews>
    <workbookView xWindow="-96" yWindow="-96" windowWidth="23232" windowHeight="12552" xr2:uid="{00000000-000D-0000-FFFF-FFFF00000000}"/>
  </bookViews>
  <sheets>
    <sheet name="Introduction" sheetId="5" r:id="rId1"/>
    <sheet name="Summary" sheetId="2" r:id="rId2"/>
    <sheet name="Risk Analysis" sheetId="6" r:id="rId3"/>
    <sheet name="Input" sheetId="1" r:id="rId4"/>
    <sheet name="Details" sheetId="3" r:id="rId5"/>
  </sheets>
  <definedNames>
    <definedName name="\A" localSheetId="0">#REF!</definedName>
    <definedName name="\A" localSheetId="2">#REF!</definedName>
    <definedName name="\A">#N/A</definedName>
    <definedName name="\B" localSheetId="2">#REF!</definedName>
    <definedName name="\B">#REF!</definedName>
    <definedName name="\C" localSheetId="0">#REF!</definedName>
    <definedName name="\C" localSheetId="2">#REF!</definedName>
    <definedName name="\C">#N/A</definedName>
    <definedName name="\D" localSheetId="0">#REF!</definedName>
    <definedName name="\D" localSheetId="2">#REF!</definedName>
    <definedName name="\D">#N/A</definedName>
    <definedName name="\E" localSheetId="2">#REF!</definedName>
    <definedName name="\E">#REF!</definedName>
    <definedName name="\F" localSheetId="2">#REF!</definedName>
    <definedName name="\F">#REF!</definedName>
    <definedName name="\H" localSheetId="0">#REF!</definedName>
    <definedName name="\H" localSheetId="2">#REF!</definedName>
    <definedName name="\H">#N/A</definedName>
    <definedName name="\I" localSheetId="0">#REF!</definedName>
    <definedName name="\I" localSheetId="2">#REF!</definedName>
    <definedName name="\I">#N/A</definedName>
    <definedName name="\K" localSheetId="0">#N/A</definedName>
    <definedName name="\K">#N/A</definedName>
    <definedName name="\L" localSheetId="2">#REF!</definedName>
    <definedName name="\L">#REF!</definedName>
    <definedName name="\N" localSheetId="0">#REF!</definedName>
    <definedName name="\N" localSheetId="2">#REF!</definedName>
    <definedName name="\N">#N/A</definedName>
    <definedName name="\O" localSheetId="2">#REF!</definedName>
    <definedName name="\O">#REF!</definedName>
    <definedName name="\P" localSheetId="0">#N/A</definedName>
    <definedName name="\P">#N/A</definedName>
    <definedName name="\R" localSheetId="2">#REF!</definedName>
    <definedName name="\R">#REF!</definedName>
    <definedName name="\S" localSheetId="0">#REF!</definedName>
    <definedName name="\S" localSheetId="2">#REF!</definedName>
    <definedName name="\S">#N/A</definedName>
    <definedName name="\T" localSheetId="2">#REF!</definedName>
    <definedName name="\T">#REF!</definedName>
    <definedName name="\U" localSheetId="2">#REF!</definedName>
    <definedName name="\U">#REF!</definedName>
    <definedName name="\W" localSheetId="0">#REF!</definedName>
    <definedName name="\W" localSheetId="2">#REF!</definedName>
    <definedName name="\W">#N/A</definedName>
    <definedName name="\X" localSheetId="0">#N/A</definedName>
    <definedName name="\X">#N/A</definedName>
    <definedName name="\Y" localSheetId="2">#REF!</definedName>
    <definedName name="\Y">#REF!</definedName>
    <definedName name="ALL" localSheetId="0">#N/A</definedName>
    <definedName name="ALL">#N/A</definedName>
    <definedName name="_xlnm.Print_Area" localSheetId="3">Input!$B$1:$G$91</definedName>
    <definedName name="_xlnm.Print_Area" localSheetId="0">Introduction!$A$1:$L$56</definedName>
    <definedName name="_xlnm.Print_Area" localSheetId="2">'Risk Analysis'!$A$1:$K$48</definedName>
    <definedName name="_xlnm.Print_Area" localSheetId="1">Summary!$A$1:$L$52</definedName>
    <definedName name="_xlnm.Print_Titles" localSheetId="4">Details!$18:$18</definedName>
    <definedName name="Z_6E930F6D_F725_11D2_92B5_0004ACD86FC2_.wvu.PrintArea" localSheetId="0" hidden="1">Introduction!$A$5:$B$45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3" l="1"/>
  <c r="E92" i="3"/>
  <c r="E114" i="3"/>
  <c r="E108" i="3"/>
  <c r="E51" i="3"/>
  <c r="E50" i="3"/>
  <c r="E49" i="3"/>
  <c r="E106" i="3"/>
  <c r="E107" i="3"/>
  <c r="E105" i="3"/>
  <c r="E104" i="3"/>
  <c r="E67" i="3"/>
  <c r="E63" i="3"/>
  <c r="E65" i="3" s="1"/>
  <c r="E57" i="3"/>
  <c r="E56" i="3"/>
  <c r="E58" i="1"/>
  <c r="E62" i="1"/>
  <c r="E37" i="1"/>
  <c r="E41" i="1"/>
  <c r="B11" i="2"/>
  <c r="B6" i="3"/>
  <c r="B7" i="3"/>
  <c r="B12" i="3"/>
  <c r="E21" i="3"/>
  <c r="E22" i="3"/>
  <c r="E23" i="3" s="1"/>
  <c r="E24" i="3"/>
  <c r="E28" i="3"/>
  <c r="E30" i="3" s="1"/>
  <c r="E29" i="3"/>
  <c r="E31" i="3"/>
  <c r="E35" i="3"/>
  <c r="E36" i="3"/>
  <c r="E37" i="3" s="1"/>
  <c r="H8" i="2" s="1"/>
  <c r="J8" i="2" s="1"/>
  <c r="E44" i="3"/>
  <c r="E45" i="3"/>
  <c r="E64" i="3"/>
  <c r="E77" i="3"/>
  <c r="E79" i="3" s="1"/>
  <c r="H14" i="2" s="1"/>
  <c r="J14" i="2" s="1"/>
  <c r="E78" i="3"/>
  <c r="E82" i="3"/>
  <c r="E83" i="3"/>
  <c r="E84" i="3"/>
  <c r="E85" i="3"/>
  <c r="E86" i="3"/>
  <c r="E87" i="3"/>
  <c r="E88" i="3"/>
  <c r="E89" i="3"/>
  <c r="H15" i="2" s="1"/>
  <c r="J15" i="2" s="1"/>
  <c r="E93" i="3"/>
  <c r="E97" i="3"/>
  <c r="E99" i="3" s="1"/>
  <c r="E98" i="3"/>
  <c r="E112" i="3"/>
  <c r="E115" i="3"/>
  <c r="E125" i="3"/>
  <c r="E131" i="3"/>
  <c r="E138" i="3"/>
  <c r="E139" i="3"/>
  <c r="E140" i="3"/>
  <c r="E141" i="3" s="1"/>
  <c r="E143" i="3"/>
  <c r="E144" i="3"/>
  <c r="E150" i="3"/>
  <c r="E151" i="3"/>
  <c r="E152" i="3"/>
  <c r="E153" i="3"/>
  <c r="E154" i="3" s="1"/>
  <c r="E156" i="3"/>
  <c r="E158" i="3"/>
  <c r="E159" i="3"/>
  <c r="E204" i="3"/>
  <c r="E218" i="3" s="1"/>
  <c r="E207" i="3"/>
  <c r="E228" i="3" s="1"/>
  <c r="B5" i="1"/>
  <c r="F16" i="1"/>
  <c r="E168" i="3" s="1"/>
  <c r="E187" i="3"/>
  <c r="E199" i="3" s="1"/>
  <c r="F21" i="1"/>
  <c r="E73" i="3" s="1"/>
  <c r="C10" i="6"/>
  <c r="C19" i="6" s="1"/>
  <c r="A25" i="6"/>
  <c r="A35" i="6"/>
  <c r="B1" i="2"/>
  <c r="B33" i="2"/>
  <c r="H37" i="2"/>
  <c r="J37" i="2"/>
  <c r="J44" i="2"/>
  <c r="A7" i="5"/>
  <c r="H33" i="2"/>
  <c r="E203" i="3"/>
  <c r="F217" i="3" s="1"/>
  <c r="E195" i="3" l="1"/>
  <c r="E219" i="3"/>
  <c r="E210" i="3"/>
  <c r="E47" i="3"/>
  <c r="E52" i="3"/>
  <c r="E224" i="3"/>
  <c r="F23" i="1"/>
  <c r="B23" i="5" s="1"/>
  <c r="E191" i="3"/>
  <c r="E32" i="3"/>
  <c r="H7" i="2" s="1"/>
  <c r="J7" i="2" s="1"/>
  <c r="B9" i="3"/>
  <c r="E95" i="3"/>
  <c r="E101" i="3" s="1"/>
  <c r="H16" i="2" s="1"/>
  <c r="J16" i="2" s="1"/>
  <c r="C11" i="6"/>
  <c r="E145" i="3"/>
  <c r="E147" i="3" s="1"/>
  <c r="E69" i="3"/>
  <c r="H12" i="2" s="1"/>
  <c r="J12" i="2" s="1"/>
  <c r="C20" i="6"/>
  <c r="E59" i="3"/>
  <c r="E109" i="3"/>
  <c r="E205" i="3"/>
  <c r="E212" i="3" s="1"/>
  <c r="E211" i="3"/>
  <c r="E225" i="3"/>
  <c r="E226" i="3" s="1"/>
  <c r="E25" i="3"/>
  <c r="E39" i="3" s="1"/>
  <c r="E54" i="3"/>
  <c r="E183" i="3"/>
  <c r="E173" i="3"/>
  <c r="E178" i="3"/>
  <c r="F20" i="1"/>
  <c r="B4" i="3" s="1"/>
  <c r="E132" i="3"/>
  <c r="E214" i="3"/>
  <c r="E221" i="3"/>
  <c r="E113" i="3"/>
  <c r="E116" i="3" s="1"/>
  <c r="E60" i="3" l="1"/>
  <c r="C21" i="6"/>
  <c r="C26" i="6" s="1"/>
  <c r="C22" i="6"/>
  <c r="C36" i="6" s="1"/>
  <c r="E157" i="3"/>
  <c r="E160" i="3" s="1"/>
  <c r="E162" i="3" s="1"/>
  <c r="H26" i="2" s="1"/>
  <c r="E118" i="3"/>
  <c r="H17" i="2" s="1"/>
  <c r="J17" i="2" s="1"/>
  <c r="H6" i="2"/>
  <c r="H9" i="2" s="1"/>
  <c r="H11" i="2"/>
  <c r="E121" i="3"/>
  <c r="E129" i="3"/>
  <c r="H23" i="2"/>
  <c r="E72" i="3"/>
  <c r="E74" i="3" s="1"/>
  <c r="H13" i="2" s="1"/>
  <c r="J13" i="2" s="1"/>
  <c r="J26" i="2"/>
  <c r="C6" i="6"/>
  <c r="J6" i="2" l="1"/>
  <c r="J9" i="2" s="1"/>
  <c r="E122" i="3"/>
  <c r="E124" i="3" s="1"/>
  <c r="E126" i="3" s="1"/>
  <c r="H18" i="2" s="1"/>
  <c r="C5" i="6"/>
  <c r="J23" i="2"/>
  <c r="J11" i="2"/>
  <c r="E167" i="3"/>
  <c r="J18" i="2" l="1"/>
  <c r="J19" i="2" s="1"/>
  <c r="E130" i="3"/>
  <c r="E134" i="3" s="1"/>
  <c r="H20" i="2" s="1"/>
  <c r="J20" i="2" s="1"/>
  <c r="H19" i="2"/>
  <c r="E177" i="3"/>
  <c r="E182" i="3"/>
  <c r="E172" i="3"/>
  <c r="H21" i="2" l="1"/>
  <c r="E186" i="3" s="1"/>
  <c r="E188" i="3" s="1"/>
  <c r="J38" i="2" s="1"/>
  <c r="J21" i="2"/>
  <c r="J24" i="2" s="1"/>
  <c r="J28" i="2" s="1"/>
  <c r="E171" i="3" l="1"/>
  <c r="E213" i="3" s="1"/>
  <c r="E215" i="3" s="1"/>
  <c r="H39" i="2" s="1"/>
  <c r="J46" i="2"/>
  <c r="E194" i="3"/>
  <c r="E196" i="3" s="1"/>
  <c r="J40" i="2" s="1"/>
  <c r="C4" i="6"/>
  <c r="C40" i="6" s="1"/>
  <c r="E176" i="3"/>
  <c r="E179" i="3" s="1"/>
  <c r="H47" i="2" s="1"/>
  <c r="J45" i="2"/>
  <c r="E190" i="3"/>
  <c r="E192" i="3" s="1"/>
  <c r="J39" i="2" s="1"/>
  <c r="E166" i="3"/>
  <c r="E169" i="3" s="1"/>
  <c r="H45" i="2" s="1"/>
  <c r="H24" i="2"/>
  <c r="H28" i="2" s="1"/>
  <c r="C30" i="6" l="1"/>
  <c r="C28" i="6"/>
  <c r="C32" i="6"/>
  <c r="C29" i="6"/>
  <c r="C38" i="6"/>
  <c r="C42" i="6"/>
  <c r="C39" i="6"/>
  <c r="E206" i="3"/>
  <c r="E208" i="3" s="1"/>
  <c r="H38" i="2" s="1"/>
  <c r="E174" i="3"/>
  <c r="H46" i="2" s="1"/>
  <c r="J47" i="2"/>
  <c r="E220" i="3"/>
  <c r="E222" i="3" s="1"/>
  <c r="H40" i="2" s="1"/>
  <c r="F181" i="3"/>
  <c r="E184" i="3" s="1"/>
  <c r="H48" i="2" s="1"/>
  <c r="E227" i="3"/>
  <c r="E229" i="3" s="1"/>
  <c r="H41" i="2" s="1"/>
  <c r="E198" i="3"/>
  <c r="E200" i="3" s="1"/>
  <c r="J41" i="2" s="1"/>
  <c r="C7" i="6"/>
  <c r="J48" i="2"/>
  <c r="C31" i="6" l="1"/>
  <c r="C4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Roy Arnott</author>
    <author>Grant Palmer</author>
  </authors>
  <commentList>
    <comment ref="B17" authorId="0" shapeId="0" xr:uid="{00000000-0006-0000-0300-000001000000}">
      <text>
        <r>
          <rPr>
            <sz val="9"/>
            <color indexed="81"/>
            <rFont val="Tahoma"/>
            <family val="2"/>
          </rPr>
          <t>Market Value can be estimated from WLPIP insured value plus 5%</t>
        </r>
      </text>
    </comment>
    <comment ref="B49" authorId="1" shapeId="0" xr:uid="{00000000-0006-0000-0300-000002000000}">
      <text>
        <r>
          <rPr>
            <b/>
            <sz val="9"/>
            <color indexed="81"/>
            <rFont val="Tahoma"/>
            <family val="2"/>
          </rPr>
          <t>Grant Palmer:</t>
        </r>
        <r>
          <rPr>
            <sz val="9"/>
            <color indexed="81"/>
            <rFont val="Tahoma"/>
            <family val="2"/>
          </rPr>
          <t xml:space="preserve">
RFID tag only, 5% retagging.  
</t>
        </r>
      </text>
    </comment>
  </commentList>
</comments>
</file>

<file path=xl/sharedStrings.xml><?xml version="1.0" encoding="utf-8"?>
<sst xmlns="http://schemas.openxmlformats.org/spreadsheetml/2006/main" count="532" uniqueCount="265">
  <si>
    <t/>
  </si>
  <si>
    <t xml:space="preserve">   ASSUMPTIONS:</t>
  </si>
  <si>
    <t>Number of Feeders Purchased</t>
  </si>
  <si>
    <t>Feeder Cattle Mortality Rate (%)</t>
  </si>
  <si>
    <t>Feeder Cattle Price ($/cwt)</t>
  </si>
  <si>
    <t>Finish Weight (lbs)</t>
  </si>
  <si>
    <t>Percent Shrink (%) - out</t>
  </si>
  <si>
    <t>Days on Feed in Feedlot</t>
  </si>
  <si>
    <t>(1)  FOOTNOTE:  1 kilogram (kg) = 2.2046 pounds (lbs)</t>
  </si>
  <si>
    <t xml:space="preserve">  Feeder Purchase Costs</t>
  </si>
  <si>
    <t xml:space="preserve">     Buying Commission per CWT</t>
  </si>
  <si>
    <t xml:space="preserve">  Yardage:</t>
  </si>
  <si>
    <t xml:space="preserve">     Cost/head/day</t>
  </si>
  <si>
    <t xml:space="preserve">  Veterinary Medicine &amp; Supplies:</t>
  </si>
  <si>
    <t xml:space="preserve">   Cattle Medication:</t>
  </si>
  <si>
    <t xml:space="preserve">     Vitamin A-D</t>
  </si>
  <si>
    <t xml:space="preserve">     External &amp; Internal Parasites</t>
  </si>
  <si>
    <t xml:space="preserve">     Growth Implants</t>
  </si>
  <si>
    <t xml:space="preserve">     Antibiotics</t>
  </si>
  <si>
    <t xml:space="preserve">  Marketing Cost:</t>
  </si>
  <si>
    <t xml:space="preserve">  Insurance:</t>
  </si>
  <si>
    <t xml:space="preserve">     Cost per $100 Capital Invested in:</t>
  </si>
  <si>
    <t xml:space="preserve">       a). Livestock</t>
  </si>
  <si>
    <t xml:space="preserve">       b). Building &amp; Equipment</t>
  </si>
  <si>
    <t xml:space="preserve">     Additional Coverage for Liability</t>
  </si>
  <si>
    <t xml:space="preserve">  Operating Interest Rate (%)</t>
  </si>
  <si>
    <t xml:space="preserve">  Investment Interest Rate (%)</t>
  </si>
  <si>
    <t>Land Value per Acre</t>
  </si>
  <si>
    <t>Property Taxes per Acre</t>
  </si>
  <si>
    <t>Carrying Capacity per Head (acres/head)</t>
  </si>
  <si>
    <t>Cost/head</t>
  </si>
  <si>
    <t>Your Cost</t>
  </si>
  <si>
    <t>A.  OPERATING COSTS</t>
  </si>
  <si>
    <t>1.  Feed Costs:</t>
  </si>
  <si>
    <t xml:space="preserve">    1.01  Ground Barley</t>
  </si>
  <si>
    <t xml:space="preserve">    1.02  Hay</t>
  </si>
  <si>
    <t xml:space="preserve">    1.03  Salt, Vitamins &amp; Minerals</t>
  </si>
  <si>
    <t>2.  Other Operating Costs:</t>
  </si>
  <si>
    <t>C.  Labour</t>
  </si>
  <si>
    <t>Total Costs</t>
  </si>
  <si>
    <t>Assumptions</t>
  </si>
  <si>
    <t xml:space="preserve">    days on pasture.</t>
  </si>
  <si>
    <t>days on ground barley</t>
  </si>
  <si>
    <t>x</t>
  </si>
  <si>
    <t>lbs/feeder/day</t>
  </si>
  <si>
    <t>=</t>
  </si>
  <si>
    <t>bushels fed</t>
  </si>
  <si>
    <t>/bu</t>
  </si>
  <si>
    <t>/feeder</t>
  </si>
  <si>
    <t>days on hay</t>
  </si>
  <si>
    <t>lbs/feeder/year</t>
  </si>
  <si>
    <t>/lb</t>
  </si>
  <si>
    <t xml:space="preserve">    2.01  Feeder Cattle Cost</t>
  </si>
  <si>
    <t>Commission</t>
  </si>
  <si>
    <t>lbs/feeder</t>
  </si>
  <si>
    <t>÷</t>
  </si>
  <si>
    <t>lbs/cwt</t>
  </si>
  <si>
    <t>Trucking-in</t>
  </si>
  <si>
    <t>$/cwt</t>
  </si>
  <si>
    <t>Feeder</t>
  </si>
  <si>
    <t>Total Cost</t>
  </si>
  <si>
    <t>cost/head/day</t>
  </si>
  <si>
    <t>days on feed</t>
  </si>
  <si>
    <t>/Tagging</t>
  </si>
  <si>
    <t>+</t>
  </si>
  <si>
    <t>/Vitamin</t>
  </si>
  <si>
    <t>/Blackleg 7 way</t>
  </si>
  <si>
    <t>commission</t>
  </si>
  <si>
    <t>insurance</t>
  </si>
  <si>
    <t>feeder cattle cost</t>
  </si>
  <si>
    <t>maximum value</t>
  </si>
  <si>
    <t>average</t>
  </si>
  <si>
    <t>average value</t>
  </si>
  <si>
    <t>% mortality rate</t>
  </si>
  <si>
    <t>feeder cost</t>
  </si>
  <si>
    <t>½ of feed &amp; other costs</t>
  </si>
  <si>
    <t>% operating interest</t>
  </si>
  <si>
    <t>365 days</t>
  </si>
  <si>
    <t>acres/head</t>
  </si>
  <si>
    <t>$/acre</t>
  </si>
  <si>
    <t>% investment rate</t>
  </si>
  <si>
    <t>Total Operating Costs</t>
  </si>
  <si>
    <t>Total Operating &amp; Fixed Costs</t>
  </si>
  <si>
    <t>Total Costs Of Production</t>
  </si>
  <si>
    <t>-</t>
  </si>
  <si>
    <t>Total</t>
  </si>
  <si>
    <t xml:space="preserve"> HERD PROFILE</t>
  </si>
  <si>
    <t xml:space="preserve">  FEED COSTS</t>
  </si>
  <si>
    <t>OTHER OPERATING COSTS</t>
  </si>
  <si>
    <t>PASTURE COSTS</t>
  </si>
  <si>
    <t>Cost</t>
  </si>
  <si>
    <t>Amount</t>
  </si>
  <si>
    <t>Ground Barley ($/bu)</t>
  </si>
  <si>
    <t>Land</t>
  </si>
  <si>
    <t>Taxes</t>
  </si>
  <si>
    <t>A.  Operating Costs</t>
  </si>
  <si>
    <t>B.  Fixed Costs</t>
  </si>
  <si>
    <t>cost/$100 capital</t>
  </si>
  <si>
    <t xml:space="preserve">/$100 </t>
  </si>
  <si>
    <t>B.  FIXED COSTS (Pasture)</t>
  </si>
  <si>
    <t>$/acre includes fence</t>
  </si>
  <si>
    <t>Shrunk Weight (lbs)</t>
  </si>
  <si>
    <t>lbs</t>
  </si>
  <si>
    <t xml:space="preserve">    2.03 Rented Pasture</t>
  </si>
  <si>
    <t>days on pasture</t>
  </si>
  <si>
    <t>Average Daily Gain Net (lbs/day)</t>
  </si>
  <si>
    <t>Average Daily Gain Gross (lbs/day)</t>
  </si>
  <si>
    <t>Days on Pasture</t>
  </si>
  <si>
    <t>Total Days Fed</t>
  </si>
  <si>
    <t xml:space="preserve">     Blackleg 7 way</t>
  </si>
  <si>
    <t>Feeder Purchased Shrunk Weight (lbs)</t>
  </si>
  <si>
    <t>/Growth Implant</t>
  </si>
  <si>
    <t>/Antibiotics</t>
  </si>
  <si>
    <t>/Vaccine 3 way</t>
  </si>
  <si>
    <t xml:space="preserve">   2.  All feed is purchased.</t>
  </si>
  <si>
    <t>/Parasites</t>
  </si>
  <si>
    <t>Date:</t>
  </si>
  <si>
    <t xml:space="preserve">    Beef Grasser Production Cost Worksheet</t>
  </si>
  <si>
    <t>Beef Grasser Cattle Production Costs</t>
  </si>
  <si>
    <t>head</t>
  </si>
  <si>
    <t>%</t>
  </si>
  <si>
    <t>lbs/day</t>
  </si>
  <si>
    <t>days</t>
  </si>
  <si>
    <t xml:space="preserve">lbs/day </t>
  </si>
  <si>
    <t>lbs/YEAR</t>
  </si>
  <si>
    <t xml:space="preserve">  Pasture Labour - hours/day</t>
  </si>
  <si>
    <t>hours/day feedlot</t>
  </si>
  <si>
    <t>days in feedlot</t>
  </si>
  <si>
    <t>$/hour</t>
  </si>
  <si>
    <t>hours/day pasture</t>
  </si>
  <si>
    <t>Feedlot</t>
  </si>
  <si>
    <t>Pasture</t>
  </si>
  <si>
    <t xml:space="preserve">    2.02 Yardage (includes straw, repairs, utilities, supplies &amp; depreciation)</t>
  </si>
  <si>
    <t>Chute fee</t>
  </si>
  <si>
    <t>Total Yardage</t>
  </si>
  <si>
    <t xml:space="preserve">     Initial Chute fee $/head</t>
  </si>
  <si>
    <t>Yardage</t>
  </si>
  <si>
    <t xml:space="preserve">     Tagging - 5% retagging cost</t>
  </si>
  <si>
    <t>Pasture checking costs (ie fuel)</t>
  </si>
  <si>
    <t xml:space="preserve">    2.04 Pasture Checking </t>
  </si>
  <si>
    <t>cost per year</t>
  </si>
  <si>
    <t xml:space="preserve">    2.05 Veterinary Medicine &amp; Supplies</t>
  </si>
  <si>
    <t xml:space="preserve">    2.06 Insurance</t>
  </si>
  <si>
    <t xml:space="preserve">    2.08  Death Loss</t>
  </si>
  <si>
    <t xml:space="preserve">    2.09  Operating Interest</t>
  </si>
  <si>
    <t>Cost/cwt sold</t>
  </si>
  <si>
    <t>Hay ($/tonne)</t>
  </si>
  <si>
    <t>Salt, Mineral etc,($/lb)</t>
  </si>
  <si>
    <t>LABOUR COSTS</t>
  </si>
  <si>
    <t xml:space="preserve">  Feedlot Labour - hours/day</t>
  </si>
  <si>
    <t xml:space="preserve">  Labour Rate/Hour</t>
  </si>
  <si>
    <t>/tonne</t>
  </si>
  <si>
    <t>tonnes fed</t>
  </si>
  <si>
    <t xml:space="preserve">     Commission on Sales $/head</t>
  </si>
  <si>
    <t xml:space="preserve">     Insurance fee $/head</t>
  </si>
  <si>
    <t>Total Feed Cost</t>
  </si>
  <si>
    <t xml:space="preserve">    Vaccine 5 Way</t>
  </si>
  <si>
    <t>C. LABOUR</t>
  </si>
  <si>
    <t xml:space="preserve">. . . . . . . . . . . . . . . . . . . . . . . . . . . . . . . . . . . . . . . . . . . . . . . . . </t>
  </si>
  <si>
    <t>Guidelines For Estimating</t>
  </si>
  <si>
    <t>Profitability and Breakeven Analysis</t>
  </si>
  <si>
    <r>
      <t>Note</t>
    </r>
    <r>
      <rPr>
        <sz val="10"/>
        <rFont val="Arial"/>
        <family val="2"/>
      </rPr>
      <t>: This budget is only a guide and is not intended to be an in-depth study of the cost of production of this industry. Interpretation and utilization of this information is the responsibility of the user.  No liability for decisions based on this publication is assumed.</t>
    </r>
  </si>
  <si>
    <t>Beef Grassing Costs</t>
  </si>
  <si>
    <r>
      <rPr>
        <b/>
        <sz val="12"/>
        <rFont val="Arial"/>
        <family val="2"/>
      </rPr>
      <t>Note:</t>
    </r>
    <r>
      <rPr>
        <sz val="12"/>
        <rFont val="Arial"/>
        <family val="2"/>
      </rPr>
      <t xml:space="preserve"> This budget is only a guide and is not intended as an in-depth study of the cost of production of this industry. Interpretation and utilization of this information is the responsibility of the user.</t>
    </r>
  </si>
  <si>
    <t>Operating Expense Ratio</t>
  </si>
  <si>
    <t xml:space="preserve">   Over Total Costs (Net Profit)</t>
  </si>
  <si>
    <t xml:space="preserve">   Over Operating &amp; Fixed Costs</t>
  </si>
  <si>
    <t xml:space="preserve">   Over Operating &amp; Labour Costs</t>
  </si>
  <si>
    <t xml:space="preserve">   Over Operating Costs</t>
  </si>
  <si>
    <t xml:space="preserve">Marginal Returns </t>
  </si>
  <si>
    <t>Lower Price ($ per cwt)</t>
  </si>
  <si>
    <t>Higher Price ($ per cwt)</t>
  </si>
  <si>
    <t>Percent Price Variation</t>
  </si>
  <si>
    <t>Down</t>
  </si>
  <si>
    <t>Up</t>
  </si>
  <si>
    <t>Price ($ per cwt)</t>
  </si>
  <si>
    <t>Estimated Farmgate</t>
  </si>
  <si>
    <t>Risk &amp; Sensitivity Analysis</t>
  </si>
  <si>
    <t>Per Head</t>
  </si>
  <si>
    <t>1.01  Ground Barley</t>
  </si>
  <si>
    <t>1.02  Hay</t>
  </si>
  <si>
    <t>Total Feed Costs</t>
  </si>
  <si>
    <t>2.02  Yardage</t>
  </si>
  <si>
    <t>2.03  Rented Pasture</t>
  </si>
  <si>
    <t>2.04  Pasture Checking</t>
  </si>
  <si>
    <t>2.05  Veterinary Medicine &amp; Supplies</t>
  </si>
  <si>
    <t>2.07  Selling Cost</t>
  </si>
  <si>
    <t>2.06  Insurance</t>
  </si>
  <si>
    <t>2.08  Death Loss</t>
  </si>
  <si>
    <t>Subtotal Operating Costs</t>
  </si>
  <si>
    <t xml:space="preserve"> 2.09  Operating Interest</t>
  </si>
  <si>
    <t>1.03  Salt, Vitamins &amp; Minerals</t>
  </si>
  <si>
    <t>3.01  Own Pasture Costs</t>
  </si>
  <si>
    <t>Breakeven Purchase</t>
  </si>
  <si>
    <t>Breakeven Selling</t>
  </si>
  <si>
    <t>Price ($/cwt) @</t>
  </si>
  <si>
    <t>Operating Costs</t>
  </si>
  <si>
    <t>Operating Costs &amp; Labour</t>
  </si>
  <si>
    <t>Operating &amp; Fixed Costs</t>
  </si>
  <si>
    <t>Breakeven Calculations</t>
  </si>
  <si>
    <t xml:space="preserve">    Cost per lb of gain sold (shrunk weight)</t>
  </si>
  <si>
    <t>lbs gained weight</t>
  </si>
  <si>
    <t>/lb (gain sold)</t>
  </si>
  <si>
    <t>operating costs</t>
  </si>
  <si>
    <t>Operating &amp; Labour Costs</t>
  </si>
  <si>
    <t>Operating &amp; Fixed</t>
  </si>
  <si>
    <t>oper.  &amp; fixed costs</t>
  </si>
  <si>
    <t>total costs</t>
  </si>
  <si>
    <t xml:space="preserve">    Breakeven selling price (shrunk weight)</t>
  </si>
  <si>
    <t>lbs shrunk weight</t>
  </si>
  <si>
    <t xml:space="preserve">/lb </t>
  </si>
  <si>
    <t xml:space="preserve">operating &amp; labour </t>
  </si>
  <si>
    <t>oper. &amp; fixed costs</t>
  </si>
  <si>
    <t xml:space="preserve">    Breakeven purchase price (shrunk weight)</t>
  </si>
  <si>
    <t>$/cwt selling price</t>
  </si>
  <si>
    <t>income</t>
  </si>
  <si>
    <t>operating less feeder cost</t>
  </si>
  <si>
    <t>lbs purchase weight</t>
  </si>
  <si>
    <t>op. &amp; fixed less feeder cost</t>
  </si>
  <si>
    <t>total less feeder cost</t>
  </si>
  <si>
    <t>Cost per lb of</t>
  </si>
  <si>
    <t>gain sold ($/cwt)</t>
  </si>
  <si>
    <t>Marginal Returns per head</t>
  </si>
  <si>
    <t>Shrunk weight (lbs)</t>
  </si>
  <si>
    <t>Percent Grasser Weight Variation</t>
  </si>
  <si>
    <t>Higher Grasser Weight</t>
  </si>
  <si>
    <t>Lower Grasser Weight</t>
  </si>
  <si>
    <t>Gross Revenue per Grasser</t>
  </si>
  <si>
    <t>A. Operating Costs</t>
  </si>
  <si>
    <t>B. Fixed Costs</t>
  </si>
  <si>
    <t>C. Labour</t>
  </si>
  <si>
    <t xml:space="preserve">    2.07 Feeder Selling Costs</t>
  </si>
  <si>
    <t>additional coverage for liability</t>
  </si>
  <si>
    <t>feeder cattle</t>
  </si>
  <si>
    <t>Pasture rental - cost per head per day</t>
  </si>
  <si>
    <t xml:space="preserve">These budgets may be adjusted by putting in your own figures.  As a producer you are encouraged to calculate your own costs of production.  Good management is assumed in that a balanced ration is being fed, livestock are on a herd health program and handling facilities are included.  </t>
  </si>
  <si>
    <t xml:space="preserve">This tool is available as an Excel worksheet at: </t>
  </si>
  <si>
    <t xml:space="preserve">is also available to help </t>
  </si>
  <si>
    <t>determine machinery costs.</t>
  </si>
  <si>
    <t>Feeder Selling Price</t>
  </si>
  <si>
    <t xml:space="preserve">    Checkoff $/head</t>
  </si>
  <si>
    <t>Checkoff Levy</t>
  </si>
  <si>
    <t>Checkoff, WLPIP, Selling Commission</t>
  </si>
  <si>
    <t xml:space="preserve">     Average Weight</t>
  </si>
  <si>
    <t>lbs/head</t>
  </si>
  <si>
    <t xml:space="preserve">     Distance</t>
  </si>
  <si>
    <t>miles</t>
  </si>
  <si>
    <t xml:space="preserve">     Rate</t>
  </si>
  <si>
    <t>/loaded mile</t>
  </si>
  <si>
    <t xml:space="preserve">     Truck Capacity</t>
  </si>
  <si>
    <t>lbs/load</t>
  </si>
  <si>
    <t xml:space="preserve">     Number of head per load - calves</t>
  </si>
  <si>
    <t>per load</t>
  </si>
  <si>
    <t xml:space="preserve">  Trucking in Cost</t>
  </si>
  <si>
    <t xml:space="preserve">  Trucking Out Cost</t>
  </si>
  <si>
    <t xml:space="preserve">miles </t>
  </si>
  <si>
    <t xml:space="preserve">/loaded mile </t>
  </si>
  <si>
    <t xml:space="preserve">feeders </t>
  </si>
  <si>
    <t>loads</t>
  </si>
  <si>
    <t xml:space="preserve">Trucking-out </t>
  </si>
  <si>
    <t xml:space="preserve">Total </t>
  </si>
  <si>
    <t>This guide is designed to provide you with planning information and a format for calculating costs of production of a grass cattle enterprise in Manitoba.  General Department recommendations are assumed in using feed and veterinary inputs. These figures provide an economic evaluation of the livestock and estimated prices required to cover all costs.  Costs include labour, investment and depreciation, but do not include management costs, nor do they necessarily represent the average cost of production in Manitoba.</t>
  </si>
  <si>
    <t>LPI Insurance Premium</t>
  </si>
  <si>
    <r>
      <t>Note:</t>
    </r>
    <r>
      <rPr>
        <sz val="11"/>
        <rFont val="Arial"/>
        <family val="2"/>
      </rPr>
      <t xml:space="preserve"> This budget is only a guide and is not intended as an in-depth study of the cost of production of this industry. Interpretation and use of this information is the responsibility of the user.  If you need help with a budget, contact a Farm Management Specialist.</t>
    </r>
  </si>
  <si>
    <t>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</si>
</sst>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7" formatCode="&quot;$&quot;#,##0.00;\-&quot;$&quot;#,##0.00"/>
    <numFmt numFmtId="164" formatCode="&quot;$&quot;#,##0_);\(&quot;$&quot;#,##0\)"/>
    <numFmt numFmtId="165" formatCode="&quot;$&quot;#,##0.00_);[Red]\(&quot;$&quot;#,##0.00\)"/>
    <numFmt numFmtId="166" formatCode="#,##0.0"/>
    <numFmt numFmtId="167" formatCode="0.0%"/>
    <numFmt numFmtId="168" formatCode="&quot;$&quot;#,##0.00"/>
    <numFmt numFmtId="169" formatCode="#,##0_ ;\-#,##0\ "/>
    <numFmt numFmtId="170" formatCode="&quot;$&quot;#,##0_);[Red]\(&quot;$&quot;#,##0\)"/>
    <numFmt numFmtId="171" formatCode="#,##0.0_);[Red]\(#,##0.0\)"/>
    <numFmt numFmtId="172" formatCode="_-&quot;£&quot;* #,##0_-;\-&quot;£&quot;* #,##0_-;_-&quot;£&quot;* &quot;-&quot;_-;_-@_-"/>
    <numFmt numFmtId="173" formatCode="_-&quot;£&quot;* #,##0.00_-;\-&quot;£&quot;* #,##0.00_-;_-&quot;£&quot;* &quot;-&quot;??_-;_-@_-"/>
    <numFmt numFmtId="174" formatCode="0.0%;\(0.0%\)"/>
    <numFmt numFmtId="175" formatCode="&quot;$&quot;#,##0.00_);\(&quot;$&quot;#,##0.00\)"/>
    <numFmt numFmtId="176" formatCode="#,##0.0_ ;\-#,##0.0\ "/>
    <numFmt numFmtId="177" formatCode="#,##0.00_ ;\-#,##0.00\ "/>
  </numFmts>
  <fonts count="36" x14ac:knownFonts="1">
    <font>
      <sz val="10"/>
      <name val="Arial"/>
    </font>
    <font>
      <sz val="12"/>
      <name val="Arial"/>
      <family val="2"/>
    </font>
    <font>
      <b/>
      <sz val="12"/>
      <name val="Arial"/>
      <family val="2"/>
    </font>
    <font>
      <u/>
      <sz val="12"/>
      <name val="Arial"/>
      <family val="2"/>
    </font>
    <font>
      <b/>
      <u/>
      <sz val="12"/>
      <name val="Arial"/>
      <family val="2"/>
    </font>
    <font>
      <b/>
      <sz val="12"/>
      <color indexed="18"/>
      <name val="Arial"/>
      <family val="2"/>
    </font>
    <font>
      <sz val="12"/>
      <color indexed="12"/>
      <name val="Arial"/>
      <family val="2"/>
    </font>
    <font>
      <sz val="14"/>
      <name val="Arial"/>
      <family val="2"/>
    </font>
    <font>
      <b/>
      <sz val="14"/>
      <name val="Arial"/>
      <family val="2"/>
    </font>
    <font>
      <b/>
      <sz val="12"/>
      <color indexed="12"/>
      <name val="Arial"/>
      <family val="2"/>
    </font>
    <font>
      <b/>
      <sz val="10"/>
      <name val="Arial"/>
      <family val="2"/>
    </font>
    <font>
      <sz val="10"/>
      <name val="Arial"/>
      <family val="2"/>
    </font>
    <font>
      <sz val="8"/>
      <name val="Arial"/>
      <family val="2"/>
    </font>
    <font>
      <sz val="9"/>
      <color indexed="81"/>
      <name val="Tahoma"/>
      <family val="2"/>
    </font>
    <font>
      <b/>
      <sz val="9"/>
      <color indexed="81"/>
      <name val="Tahoma"/>
      <family val="2"/>
    </font>
    <font>
      <sz val="22"/>
      <name val="Arial"/>
      <family val="2"/>
    </font>
    <font>
      <sz val="16"/>
      <color indexed="18"/>
      <name val="Arial"/>
      <family val="2"/>
    </font>
    <font>
      <b/>
      <sz val="20"/>
      <color indexed="18"/>
      <name val="Arial"/>
      <family val="2"/>
    </font>
    <font>
      <sz val="12"/>
      <color indexed="10"/>
      <name val="Arial"/>
      <family val="2"/>
    </font>
    <font>
      <sz val="12"/>
      <name val="Arial"/>
      <family val="2"/>
    </font>
    <font>
      <b/>
      <sz val="11"/>
      <name val="Arial"/>
      <family val="2"/>
    </font>
    <font>
      <sz val="11"/>
      <name val="Arial"/>
      <family val="2"/>
    </font>
    <font>
      <sz val="10"/>
      <color indexed="12"/>
      <name val="Arial"/>
      <family val="2"/>
    </font>
    <font>
      <b/>
      <u/>
      <sz val="14"/>
      <name val="Arial"/>
      <family val="2"/>
    </font>
    <font>
      <b/>
      <u/>
      <sz val="10"/>
      <name val="Arial"/>
      <family val="2"/>
    </font>
    <font>
      <u/>
      <sz val="11"/>
      <color theme="10"/>
      <name val="Calibri"/>
      <family val="2"/>
    </font>
    <font>
      <sz val="14"/>
      <color theme="0"/>
      <name val="Arial"/>
      <family val="2"/>
    </font>
    <font>
      <sz val="12"/>
      <color theme="0"/>
      <name val="Arial"/>
      <family val="2"/>
    </font>
    <font>
      <b/>
      <sz val="12"/>
      <color theme="0"/>
      <name val="Arial"/>
      <family val="2"/>
    </font>
    <font>
      <b/>
      <sz val="12"/>
      <color rgb="FF0000FF"/>
      <name val="Arial"/>
      <family val="2"/>
    </font>
    <font>
      <b/>
      <u/>
      <sz val="11"/>
      <color theme="10"/>
      <name val="Arial"/>
      <family val="2"/>
    </font>
    <font>
      <b/>
      <sz val="10"/>
      <color theme="1"/>
      <name val="Arial"/>
      <family val="2"/>
    </font>
    <font>
      <b/>
      <sz val="12"/>
      <color theme="1"/>
      <name val="Arial"/>
      <family val="2"/>
    </font>
    <font>
      <b/>
      <u/>
      <sz val="12"/>
      <color rgb="FF0000FF"/>
      <name val="Arial"/>
      <family val="2"/>
    </font>
    <font>
      <b/>
      <sz val="14"/>
      <color theme="0"/>
      <name val="Arial"/>
      <family val="2"/>
    </font>
    <font>
      <sz val="10"/>
      <color theme="0"/>
      <name val="Arial"/>
      <family val="2"/>
    </font>
  </fonts>
  <fills count="9">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58"/>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7">
    <xf numFmtId="0" fontId="0" fillId="0" borderId="0">
      <alignment vertical="top"/>
    </xf>
    <xf numFmtId="170" fontId="1" fillId="0" borderId="0"/>
    <xf numFmtId="170" fontId="9" fillId="0" borderId="0">
      <protection locked="0"/>
    </xf>
    <xf numFmtId="165" fontId="1" fillId="0" borderId="0"/>
    <xf numFmtId="165" fontId="9" fillId="0" borderId="0">
      <protection locked="0"/>
    </xf>
    <xf numFmtId="38" fontId="1" fillId="0" borderId="0"/>
    <xf numFmtId="38" fontId="9" fillId="0" borderId="0">
      <protection locked="0"/>
    </xf>
    <xf numFmtId="171" fontId="1" fillId="0" borderId="0"/>
    <xf numFmtId="171" fontId="9" fillId="0" borderId="0">
      <protection locked="0"/>
    </xf>
    <xf numFmtId="40" fontId="1" fillId="0" borderId="0"/>
    <xf numFmtId="40" fontId="9" fillId="0" borderId="0">
      <protection locked="0"/>
    </xf>
    <xf numFmtId="0" fontId="25" fillId="0" borderId="0" applyNumberFormat="0" applyFill="0" applyBorder="0" applyAlignment="0" applyProtection="0">
      <alignment vertical="top"/>
      <protection locked="0"/>
    </xf>
    <xf numFmtId="0" fontId="19" fillId="0" borderId="0">
      <alignment vertical="top"/>
    </xf>
    <xf numFmtId="0" fontId="11" fillId="0" borderId="0">
      <alignment vertical="top"/>
    </xf>
    <xf numFmtId="0" fontId="1" fillId="0" borderId="0">
      <alignment vertical="top"/>
    </xf>
    <xf numFmtId="168" fontId="1" fillId="0" borderId="0">
      <alignment vertical="top"/>
    </xf>
    <xf numFmtId="38" fontId="11" fillId="2" borderId="1"/>
    <xf numFmtId="38" fontId="22" fillId="0" borderId="1">
      <protection locked="0"/>
    </xf>
    <xf numFmtId="171" fontId="11" fillId="3" borderId="1"/>
    <xf numFmtId="171" fontId="22" fillId="0" borderId="1">
      <protection locked="0"/>
    </xf>
    <xf numFmtId="40" fontId="11" fillId="3" borderId="1"/>
    <xf numFmtId="40" fontId="22" fillId="0" borderId="1">
      <protection locked="0"/>
    </xf>
    <xf numFmtId="10" fontId="1" fillId="0" borderId="0"/>
    <xf numFmtId="10" fontId="22" fillId="4" borderId="1">
      <protection locked="0"/>
    </xf>
    <xf numFmtId="0" fontId="11" fillId="5" borderId="0"/>
    <xf numFmtId="172" fontId="11" fillId="0" borderId="0" applyFont="0" applyFill="0" applyBorder="0" applyAlignment="0" applyProtection="0"/>
    <xf numFmtId="173" fontId="11" fillId="0" borderId="0" applyFont="0" applyFill="0" applyBorder="0" applyAlignment="0" applyProtection="0"/>
  </cellStyleXfs>
  <cellXfs count="195">
    <xf numFmtId="5" fontId="0" fillId="0" borderId="0" xfId="0" applyNumberFormat="1" applyAlignment="1"/>
    <xf numFmtId="5" fontId="1" fillId="0" borderId="0" xfId="0" applyNumberFormat="1" applyFont="1" applyAlignment="1"/>
    <xf numFmtId="3" fontId="1" fillId="0" borderId="0" xfId="0" applyNumberFormat="1" applyFont="1" applyAlignment="1"/>
    <xf numFmtId="7" fontId="1" fillId="0" borderId="0" xfId="0" applyNumberFormat="1" applyFont="1" applyAlignment="1" applyProtection="1">
      <protection locked="0"/>
    </xf>
    <xf numFmtId="7" fontId="1" fillId="0" borderId="0" xfId="0" applyNumberFormat="1" applyFont="1" applyAlignment="1"/>
    <xf numFmtId="5" fontId="1" fillId="0" borderId="0" xfId="0" applyNumberFormat="1" applyFont="1" applyAlignment="1" applyProtection="1">
      <protection locked="0"/>
    </xf>
    <xf numFmtId="5" fontId="2" fillId="0" borderId="0" xfId="0" applyNumberFormat="1" applyFont="1" applyAlignment="1"/>
    <xf numFmtId="3" fontId="1" fillId="0" borderId="2" xfId="0" applyNumberFormat="1" applyFont="1" applyBorder="1" applyAlignment="1"/>
    <xf numFmtId="4" fontId="1" fillId="0" borderId="0" xfId="0" applyNumberFormat="1" applyFont="1" applyAlignment="1"/>
    <xf numFmtId="3" fontId="1" fillId="0" borderId="3" xfId="0" applyNumberFormat="1" applyFont="1" applyBorder="1" applyAlignment="1"/>
    <xf numFmtId="3" fontId="3" fillId="0" borderId="3" xfId="0" applyNumberFormat="1" applyFont="1" applyBorder="1" applyAlignment="1"/>
    <xf numFmtId="7" fontId="2" fillId="0" borderId="0" xfId="0" applyNumberFormat="1" applyFont="1" applyAlignment="1"/>
    <xf numFmtId="5" fontId="2" fillId="0" borderId="3" xfId="0" applyNumberFormat="1" applyFont="1" applyBorder="1" applyAlignment="1"/>
    <xf numFmtId="5" fontId="1" fillId="0" borderId="2" xfId="0" applyNumberFormat="1" applyFont="1" applyBorder="1" applyAlignment="1"/>
    <xf numFmtId="5" fontId="3" fillId="0" borderId="0" xfId="0" applyNumberFormat="1" applyFont="1" applyAlignment="1"/>
    <xf numFmtId="5" fontId="2" fillId="0" borderId="2" xfId="0" applyNumberFormat="1" applyFont="1" applyBorder="1" applyAlignment="1"/>
    <xf numFmtId="5" fontId="4" fillId="0" borderId="0" xfId="0" applyNumberFormat="1" applyFont="1" applyAlignment="1">
      <alignment horizontal="right"/>
    </xf>
    <xf numFmtId="5" fontId="1" fillId="0" borderId="3" xfId="0" applyNumberFormat="1" applyFont="1" applyBorder="1" applyAlignment="1"/>
    <xf numFmtId="5" fontId="5" fillId="0" borderId="0" xfId="0" applyNumberFormat="1" applyFont="1" applyAlignment="1"/>
    <xf numFmtId="5" fontId="6" fillId="0" borderId="0" xfId="0" applyNumberFormat="1" applyFont="1" applyAlignment="1"/>
    <xf numFmtId="5" fontId="4" fillId="0" borderId="0" xfId="0" applyNumberFormat="1" applyFont="1" applyAlignment="1">
      <alignment horizontal="center"/>
    </xf>
    <xf numFmtId="0" fontId="1" fillId="0" borderId="0" xfId="0" applyFont="1" applyAlignment="1"/>
    <xf numFmtId="166" fontId="1" fillId="0" borderId="0" xfId="0" applyNumberFormat="1" applyFont="1" applyAlignment="1"/>
    <xf numFmtId="5" fontId="4" fillId="0" borderId="0" xfId="0" applyNumberFormat="1" applyFont="1" applyAlignment="1"/>
    <xf numFmtId="5" fontId="1" fillId="0" borderId="0" xfId="0" quotePrefix="1" applyNumberFormat="1" applyFont="1" applyAlignment="1"/>
    <xf numFmtId="168" fontId="1" fillId="0" borderId="0" xfId="0" applyNumberFormat="1" applyFont="1" applyAlignment="1"/>
    <xf numFmtId="1" fontId="9" fillId="0" borderId="0" xfId="0" applyNumberFormat="1" applyFont="1" applyAlignment="1" applyProtection="1">
      <protection locked="0"/>
    </xf>
    <xf numFmtId="166" fontId="9" fillId="0" borderId="0" xfId="0" applyNumberFormat="1" applyFont="1" applyAlignment="1" applyProtection="1">
      <protection locked="0"/>
    </xf>
    <xf numFmtId="3" fontId="9" fillId="0" borderId="0" xfId="0" applyNumberFormat="1" applyFont="1" applyAlignment="1" applyProtection="1">
      <protection locked="0"/>
    </xf>
    <xf numFmtId="7" fontId="9" fillId="0" borderId="0" xfId="0" applyNumberFormat="1" applyFont="1" applyAlignment="1" applyProtection="1">
      <protection locked="0"/>
    </xf>
    <xf numFmtId="167" fontId="9" fillId="0" borderId="0" xfId="0" applyNumberFormat="1" applyFont="1" applyAlignment="1" applyProtection="1">
      <protection locked="0"/>
    </xf>
    <xf numFmtId="4" fontId="9" fillId="0" borderId="0" xfId="0" applyNumberFormat="1" applyFont="1" applyAlignment="1" applyProtection="1">
      <protection locked="0"/>
    </xf>
    <xf numFmtId="168" fontId="9" fillId="0" borderId="0" xfId="0" applyNumberFormat="1" applyFont="1" applyAlignment="1" applyProtection="1">
      <protection locked="0"/>
    </xf>
    <xf numFmtId="0" fontId="1" fillId="0" borderId="0" xfId="0" applyFont="1">
      <alignment vertical="top"/>
    </xf>
    <xf numFmtId="169" fontId="2" fillId="0" borderId="0" xfId="0" applyNumberFormat="1" applyFont="1" applyAlignment="1"/>
    <xf numFmtId="4" fontId="2" fillId="0" borderId="0" xfId="0" applyNumberFormat="1" applyFont="1" applyAlignment="1"/>
    <xf numFmtId="3" fontId="2" fillId="0" borderId="0" xfId="0" applyNumberFormat="1" applyFont="1" applyAlignment="1"/>
    <xf numFmtId="7" fontId="4" fillId="0" borderId="0" xfId="0" applyNumberFormat="1" applyFont="1" applyAlignment="1">
      <alignment horizontal="center"/>
    </xf>
    <xf numFmtId="5" fontId="9" fillId="0" borderId="0" xfId="0" applyNumberFormat="1" applyFont="1" applyAlignment="1"/>
    <xf numFmtId="168" fontId="2" fillId="0" borderId="0" xfId="0" applyNumberFormat="1" applyFont="1" applyAlignment="1"/>
    <xf numFmtId="5" fontId="11" fillId="0" borderId="0" xfId="0" applyNumberFormat="1" applyFont="1" applyAlignment="1">
      <alignment horizontal="center"/>
    </xf>
    <xf numFmtId="3" fontId="7" fillId="0" borderId="0" xfId="0" applyNumberFormat="1" applyFont="1" applyAlignment="1"/>
    <xf numFmtId="168" fontId="1" fillId="0" borderId="0" xfId="3" applyNumberFormat="1"/>
    <xf numFmtId="1" fontId="1" fillId="0" borderId="2" xfId="0" applyNumberFormat="1" applyFont="1" applyBorder="1" applyAlignment="1"/>
    <xf numFmtId="7" fontId="1" fillId="0" borderId="2" xfId="0" applyNumberFormat="1" applyFont="1" applyBorder="1" applyAlignment="1"/>
    <xf numFmtId="169" fontId="1" fillId="0" borderId="2" xfId="0" applyNumberFormat="1" applyFont="1" applyBorder="1" applyAlignment="1"/>
    <xf numFmtId="166" fontId="1" fillId="0" borderId="2" xfId="0" applyNumberFormat="1" applyFont="1" applyBorder="1" applyAlignment="1"/>
    <xf numFmtId="4" fontId="1" fillId="0" borderId="2" xfId="0" applyNumberFormat="1" applyFont="1" applyBorder="1" applyAlignment="1"/>
    <xf numFmtId="168" fontId="1" fillId="0" borderId="2" xfId="0" applyNumberFormat="1" applyFont="1" applyBorder="1" applyAlignment="1"/>
    <xf numFmtId="5" fontId="9" fillId="0" borderId="0" xfId="0" applyNumberFormat="1" applyFont="1" applyAlignment="1" applyProtection="1">
      <protection locked="0"/>
    </xf>
    <xf numFmtId="168" fontId="1" fillId="0" borderId="0" xfId="15">
      <alignment vertical="top"/>
    </xf>
    <xf numFmtId="168" fontId="15" fillId="0" borderId="0" xfId="15" applyFont="1" applyAlignment="1">
      <alignment vertical="center"/>
    </xf>
    <xf numFmtId="168" fontId="1" fillId="0" borderId="0" xfId="15" applyAlignment="1">
      <alignment vertical="center"/>
    </xf>
    <xf numFmtId="168" fontId="8" fillId="0" borderId="0" xfId="15" applyFont="1" applyAlignment="1">
      <alignment horizontal="right" vertical="top"/>
    </xf>
    <xf numFmtId="168" fontId="8" fillId="0" borderId="0" xfId="15" applyFont="1">
      <alignment vertical="top"/>
    </xf>
    <xf numFmtId="168" fontId="1" fillId="0" borderId="0" xfId="15" applyAlignment="1">
      <alignment horizontal="left" vertical="top"/>
    </xf>
    <xf numFmtId="168" fontId="18" fillId="0" borderId="0" xfId="15" applyFont="1" applyProtection="1">
      <alignment vertical="top"/>
      <protection locked="0"/>
    </xf>
    <xf numFmtId="3" fontId="1" fillId="0" borderId="0" xfId="12" applyNumberFormat="1" applyFont="1" applyProtection="1">
      <alignment vertical="top"/>
      <protection locked="0"/>
    </xf>
    <xf numFmtId="168" fontId="7" fillId="0" borderId="0" xfId="15" applyFont="1" applyAlignment="1">
      <alignment horizontal="left" vertical="top" wrapText="1"/>
    </xf>
    <xf numFmtId="3" fontId="7" fillId="0" borderId="0" xfId="12" applyNumberFormat="1" applyFont="1">
      <alignment vertical="top"/>
    </xf>
    <xf numFmtId="0" fontId="19" fillId="0" borderId="0" xfId="12">
      <alignment vertical="top"/>
    </xf>
    <xf numFmtId="3" fontId="26" fillId="6" borderId="0" xfId="0" applyNumberFormat="1" applyFont="1" applyFill="1" applyAlignment="1"/>
    <xf numFmtId="3" fontId="27" fillId="6" borderId="0" xfId="0" applyNumberFormat="1" applyFont="1" applyFill="1" applyAlignment="1"/>
    <xf numFmtId="3" fontId="28" fillId="6" borderId="0" xfId="0" applyNumberFormat="1" applyFont="1" applyFill="1" applyAlignment="1"/>
    <xf numFmtId="170" fontId="28" fillId="6" borderId="0" xfId="1" applyFont="1" applyFill="1"/>
    <xf numFmtId="3" fontId="7" fillId="6" borderId="0" xfId="0" applyNumberFormat="1" applyFont="1" applyFill="1" applyAlignment="1"/>
    <xf numFmtId="5" fontId="27" fillId="6" borderId="0" xfId="0" applyNumberFormat="1" applyFont="1" applyFill="1" applyAlignment="1"/>
    <xf numFmtId="170" fontId="2" fillId="0" borderId="0" xfId="1" applyFont="1"/>
    <xf numFmtId="0" fontId="7" fillId="0" borderId="0" xfId="13" applyFont="1" applyAlignment="1"/>
    <xf numFmtId="0" fontId="1" fillId="0" borderId="0" xfId="13" applyFont="1" applyAlignment="1"/>
    <xf numFmtId="0" fontId="8" fillId="0" borderId="0" xfId="13" applyFont="1" applyAlignment="1"/>
    <xf numFmtId="0" fontId="2" fillId="0" borderId="0" xfId="13" applyFont="1" applyAlignment="1"/>
    <xf numFmtId="168" fontId="1" fillId="0" borderId="0" xfId="15" applyAlignment="1">
      <alignment vertical="top" wrapText="1"/>
    </xf>
    <xf numFmtId="174" fontId="1" fillId="0" borderId="0" xfId="13" applyNumberFormat="1" applyFont="1" applyAlignment="1"/>
    <xf numFmtId="175" fontId="1" fillId="0" borderId="0" xfId="13" applyNumberFormat="1" applyFont="1" applyAlignment="1"/>
    <xf numFmtId="0" fontId="1" fillId="0" borderId="0" xfId="13" applyFont="1" applyAlignment="1">
      <alignment horizontal="left"/>
    </xf>
    <xf numFmtId="3" fontId="1" fillId="0" borderId="0" xfId="12" applyNumberFormat="1" applyFont="1" applyAlignment="1"/>
    <xf numFmtId="7" fontId="1" fillId="0" borderId="0" xfId="13" applyNumberFormat="1" applyFont="1" applyAlignment="1"/>
    <xf numFmtId="7" fontId="2" fillId="0" borderId="0" xfId="13" applyNumberFormat="1" applyFont="1" applyAlignment="1"/>
    <xf numFmtId="0" fontId="23" fillId="0" borderId="0" xfId="13" applyFont="1" applyAlignment="1"/>
    <xf numFmtId="174" fontId="2" fillId="0" borderId="0" xfId="13" applyNumberFormat="1" applyFont="1" applyAlignment="1"/>
    <xf numFmtId="176" fontId="1" fillId="0" borderId="0" xfId="13" applyNumberFormat="1" applyFont="1" applyAlignment="1"/>
    <xf numFmtId="0" fontId="2" fillId="0" borderId="0" xfId="13" applyFont="1" applyAlignment="1">
      <alignment horizontal="right"/>
    </xf>
    <xf numFmtId="169" fontId="1" fillId="0" borderId="0" xfId="13" applyNumberFormat="1" applyFont="1" applyAlignment="1">
      <alignment horizontal="right"/>
    </xf>
    <xf numFmtId="9" fontId="2" fillId="0" borderId="0" xfId="13" applyNumberFormat="1" applyFont="1" applyAlignment="1">
      <alignment horizontal="center"/>
    </xf>
    <xf numFmtId="0" fontId="1" fillId="7" borderId="0" xfId="13" applyFont="1" applyFill="1" applyAlignment="1"/>
    <xf numFmtId="9" fontId="29" fillId="7" borderId="0" xfId="13" applyNumberFormat="1" applyFont="1" applyFill="1" applyAlignment="1">
      <alignment horizontal="center"/>
    </xf>
    <xf numFmtId="0" fontId="8" fillId="7" borderId="0" xfId="13" applyFont="1" applyFill="1" applyAlignment="1">
      <alignment horizontal="right"/>
    </xf>
    <xf numFmtId="0" fontId="7" fillId="7" borderId="0" xfId="13" applyFont="1" applyFill="1" applyAlignment="1"/>
    <xf numFmtId="0" fontId="2" fillId="7" borderId="0" xfId="13" applyFont="1" applyFill="1" applyAlignment="1"/>
    <xf numFmtId="9" fontId="29" fillId="0" borderId="4" xfId="13" applyNumberFormat="1" applyFont="1" applyBorder="1" applyAlignment="1" applyProtection="1">
      <alignment horizontal="center"/>
      <protection locked="0"/>
    </xf>
    <xf numFmtId="0" fontId="2" fillId="0" borderId="0" xfId="13" applyFont="1" applyAlignment="1">
      <alignment horizontal="center"/>
    </xf>
    <xf numFmtId="0" fontId="2" fillId="7" borderId="0" xfId="13" applyFont="1" applyFill="1" applyAlignment="1">
      <alignment horizontal="center"/>
    </xf>
    <xf numFmtId="0" fontId="2" fillId="7" borderId="4" xfId="13" applyFont="1" applyFill="1" applyBorder="1" applyAlignment="1">
      <alignment horizontal="center"/>
    </xf>
    <xf numFmtId="169" fontId="1" fillId="7" borderId="0" xfId="13" applyNumberFormat="1" applyFont="1" applyFill="1" applyAlignment="1">
      <alignment horizontal="right"/>
    </xf>
    <xf numFmtId="169" fontId="29" fillId="0" borderId="0" xfId="13" applyNumberFormat="1" applyFont="1" applyAlignment="1"/>
    <xf numFmtId="169" fontId="1" fillId="0" borderId="0" xfId="13" applyNumberFormat="1" applyFont="1" applyAlignment="1"/>
    <xf numFmtId="3" fontId="7" fillId="0" borderId="0" xfId="12" applyNumberFormat="1" applyFont="1" applyAlignment="1"/>
    <xf numFmtId="7" fontId="29" fillId="0" borderId="0" xfId="13" applyNumberFormat="1" applyFont="1" applyAlignment="1"/>
    <xf numFmtId="3" fontId="2" fillId="0" borderId="0" xfId="12" applyNumberFormat="1" applyFont="1" applyAlignment="1"/>
    <xf numFmtId="3" fontId="2" fillId="0" borderId="0" xfId="13" applyNumberFormat="1" applyFont="1" applyAlignment="1"/>
    <xf numFmtId="0" fontId="21" fillId="0" borderId="0" xfId="13" applyFont="1" applyAlignment="1"/>
    <xf numFmtId="0" fontId="20" fillId="0" borderId="0" xfId="13" applyFont="1" applyAlignment="1">
      <alignment horizontal="center"/>
    </xf>
    <xf numFmtId="0" fontId="20" fillId="0" borderId="0" xfId="13" applyFont="1" applyAlignment="1">
      <alignment horizontal="right"/>
    </xf>
    <xf numFmtId="0" fontId="20" fillId="0" borderId="2" xfId="13" applyFont="1" applyBorder="1" applyAlignment="1">
      <alignment horizontal="center"/>
    </xf>
    <xf numFmtId="0" fontId="21" fillId="0" borderId="0" xfId="13" applyFont="1" applyAlignment="1">
      <alignment horizontal="right"/>
    </xf>
    <xf numFmtId="0" fontId="28" fillId="6" borderId="0" xfId="13" applyFont="1" applyFill="1" applyAlignment="1"/>
    <xf numFmtId="168" fontId="2" fillId="0" borderId="0" xfId="3" applyNumberFormat="1" applyFont="1"/>
    <xf numFmtId="0" fontId="0" fillId="0" borderId="2" xfId="0" applyBorder="1" applyAlignment="1"/>
    <xf numFmtId="0" fontId="0" fillId="0" borderId="0" xfId="0" applyAlignment="1"/>
    <xf numFmtId="168" fontId="20" fillId="0" borderId="0" xfId="15" applyFont="1">
      <alignment vertical="top"/>
    </xf>
    <xf numFmtId="164" fontId="30" fillId="0" borderId="0" xfId="11" applyNumberFormat="1" applyFont="1" applyAlignment="1" applyProtection="1"/>
    <xf numFmtId="0" fontId="20" fillId="0" borderId="0" xfId="0" applyFont="1" applyAlignment="1"/>
    <xf numFmtId="168" fontId="21" fillId="0" borderId="0" xfId="15" applyFont="1">
      <alignment vertical="top"/>
    </xf>
    <xf numFmtId="0" fontId="21" fillId="0" borderId="0" xfId="0" applyFont="1" applyAlignment="1"/>
    <xf numFmtId="3" fontId="2" fillId="0" borderId="2" xfId="0" applyNumberFormat="1" applyFont="1" applyBorder="1" applyAlignment="1"/>
    <xf numFmtId="168" fontId="2" fillId="0" borderId="2" xfId="0" applyNumberFormat="1" applyFont="1" applyBorder="1" applyAlignment="1"/>
    <xf numFmtId="170" fontId="2" fillId="0" borderId="2" xfId="1" applyFont="1" applyBorder="1"/>
    <xf numFmtId="3" fontId="10" fillId="0" borderId="0" xfId="0" applyNumberFormat="1" applyFont="1" applyAlignment="1"/>
    <xf numFmtId="170" fontId="10" fillId="0" borderId="0" xfId="1" applyFont="1"/>
    <xf numFmtId="3" fontId="11" fillId="0" borderId="0" xfId="0" applyNumberFormat="1" applyFont="1" applyAlignment="1">
      <alignment horizontal="center"/>
    </xf>
    <xf numFmtId="3" fontId="10" fillId="0" borderId="0" xfId="0" applyNumberFormat="1" applyFont="1" applyAlignment="1">
      <alignment horizontal="center"/>
    </xf>
    <xf numFmtId="168" fontId="10" fillId="0" borderId="0" xfId="0" applyNumberFormat="1" applyFont="1" applyAlignment="1">
      <alignment horizontal="center"/>
    </xf>
    <xf numFmtId="170" fontId="10" fillId="0" borderId="0" xfId="1" applyFont="1" applyAlignment="1">
      <alignment horizontal="center"/>
    </xf>
    <xf numFmtId="168" fontId="24" fillId="0" borderId="0" xfId="0" applyNumberFormat="1" applyFont="1" applyAlignment="1">
      <alignment horizontal="center"/>
    </xf>
    <xf numFmtId="3" fontId="4" fillId="0" borderId="0" xfId="0" applyNumberFormat="1" applyFont="1" applyAlignment="1">
      <alignment horizontal="right"/>
    </xf>
    <xf numFmtId="3" fontId="1" fillId="0" borderId="0" xfId="0" applyNumberFormat="1" applyFont="1" applyAlignment="1">
      <alignment horizontal="left"/>
    </xf>
    <xf numFmtId="170" fontId="1" fillId="0" borderId="0" xfId="1" applyAlignment="1">
      <alignment horizontal="left"/>
    </xf>
    <xf numFmtId="170" fontId="1" fillId="0" borderId="0" xfId="1"/>
    <xf numFmtId="164" fontId="1" fillId="0" borderId="0" xfId="14" applyNumberFormat="1" applyAlignment="1"/>
    <xf numFmtId="164" fontId="2" fillId="0" borderId="0" xfId="14" applyNumberFormat="1" applyFont="1" applyAlignment="1"/>
    <xf numFmtId="168" fontId="1" fillId="0" borderId="0" xfId="14" applyNumberFormat="1" applyAlignment="1"/>
    <xf numFmtId="164" fontId="1" fillId="0" borderId="2" xfId="14" applyNumberFormat="1" applyBorder="1" applyAlignment="1"/>
    <xf numFmtId="3" fontId="3" fillId="0" borderId="0" xfId="5" applyNumberFormat="1" applyFont="1"/>
    <xf numFmtId="164" fontId="3" fillId="0" borderId="0" xfId="14" applyNumberFormat="1" applyFont="1" applyAlignment="1"/>
    <xf numFmtId="164" fontId="2" fillId="0" borderId="0" xfId="14" quotePrefix="1" applyNumberFormat="1" applyFont="1" applyAlignment="1"/>
    <xf numFmtId="175" fontId="1" fillId="0" borderId="0" xfId="14" applyNumberFormat="1" applyAlignment="1"/>
    <xf numFmtId="164" fontId="1" fillId="0" borderId="0" xfId="14" quotePrefix="1" applyNumberFormat="1" applyAlignment="1"/>
    <xf numFmtId="37" fontId="3" fillId="0" borderId="0" xfId="14" applyNumberFormat="1" applyFont="1" applyAlignment="1"/>
    <xf numFmtId="175" fontId="2" fillId="0" borderId="0" xfId="14" applyNumberFormat="1" applyFont="1" applyAlignment="1"/>
    <xf numFmtId="3" fontId="1" fillId="0" borderId="0" xfId="5" applyNumberFormat="1"/>
    <xf numFmtId="164" fontId="1" fillId="0" borderId="0" xfId="14" applyNumberFormat="1" applyAlignment="1">
      <alignment horizontal="center"/>
    </xf>
    <xf numFmtId="168" fontId="1" fillId="0" borderId="0" xfId="5" applyNumberFormat="1"/>
    <xf numFmtId="164" fontId="3" fillId="0" borderId="0" xfId="14" applyNumberFormat="1" applyFont="1" applyAlignment="1">
      <alignment horizontal="center"/>
    </xf>
    <xf numFmtId="3" fontId="3" fillId="0" borderId="0" xfId="3" applyNumberFormat="1" applyFont="1"/>
    <xf numFmtId="3" fontId="1" fillId="0" borderId="0" xfId="14" applyNumberFormat="1" applyAlignment="1"/>
    <xf numFmtId="3" fontId="3" fillId="0" borderId="0" xfId="14" applyNumberFormat="1" applyFont="1" applyAlignment="1"/>
    <xf numFmtId="168" fontId="1" fillId="0" borderId="0" xfId="0" applyNumberFormat="1" applyFont="1" applyAlignment="1">
      <alignment horizontal="right"/>
    </xf>
    <xf numFmtId="3" fontId="24" fillId="0" borderId="0" xfId="0" applyNumberFormat="1" applyFont="1" applyAlignment="1">
      <alignment horizontal="center"/>
    </xf>
    <xf numFmtId="164" fontId="1" fillId="0" borderId="0" xfId="0" applyNumberFormat="1" applyFont="1" applyAlignment="1"/>
    <xf numFmtId="164" fontId="1" fillId="0" borderId="2" xfId="0" applyNumberFormat="1" applyFont="1" applyBorder="1" applyAlignment="1"/>
    <xf numFmtId="0" fontId="3" fillId="0" borderId="0" xfId="0" applyFont="1" applyAlignment="1"/>
    <xf numFmtId="0" fontId="1" fillId="0" borderId="2" xfId="0" applyFont="1" applyBorder="1" applyAlignment="1"/>
    <xf numFmtId="168" fontId="7" fillId="0" borderId="0" xfId="15" applyFont="1">
      <alignment vertical="top"/>
    </xf>
    <xf numFmtId="168" fontId="7" fillId="0" borderId="0" xfId="15" applyFont="1" applyAlignment="1">
      <alignment vertical="center"/>
    </xf>
    <xf numFmtId="168" fontId="7" fillId="0" borderId="0" xfId="15" applyFont="1" applyAlignment="1">
      <alignment vertical="top" wrapText="1"/>
    </xf>
    <xf numFmtId="175" fontId="1" fillId="0" borderId="0" xfId="0" applyNumberFormat="1" applyFont="1" applyAlignment="1"/>
    <xf numFmtId="0" fontId="31" fillId="0" borderId="0" xfId="0" applyFont="1" applyAlignment="1">
      <alignment horizontal="right"/>
    </xf>
    <xf numFmtId="0" fontId="32" fillId="0" borderId="2" xfId="0" applyFont="1" applyBorder="1" applyAlignment="1">
      <alignment horizontal="right"/>
    </xf>
    <xf numFmtId="0" fontId="32" fillId="0" borderId="0" xfId="0" applyFont="1" applyAlignment="1">
      <alignment horizontal="right"/>
    </xf>
    <xf numFmtId="168" fontId="0" fillId="0" borderId="0" xfId="0" applyNumberFormat="1" applyAlignment="1"/>
    <xf numFmtId="0" fontId="0" fillId="0" borderId="5" xfId="0" applyBorder="1" applyAlignment="1"/>
    <xf numFmtId="0" fontId="33" fillId="0" borderId="0" xfId="0" applyFont="1" applyAlignment="1">
      <alignment horizontal="left" vertical="top"/>
    </xf>
    <xf numFmtId="168" fontId="1" fillId="0" borderId="2" xfId="15" applyBorder="1">
      <alignment vertical="top"/>
    </xf>
    <xf numFmtId="7" fontId="9" fillId="8" borderId="0" xfId="0" applyNumberFormat="1" applyFont="1" applyFill="1" applyAlignment="1" applyProtection="1">
      <protection locked="0"/>
    </xf>
    <xf numFmtId="164" fontId="2" fillId="0" borderId="0" xfId="0" applyNumberFormat="1" applyFont="1" applyAlignment="1"/>
    <xf numFmtId="164" fontId="0" fillId="0" borderId="0" xfId="0" applyNumberFormat="1" applyAlignment="1"/>
    <xf numFmtId="175" fontId="0" fillId="0" borderId="0" xfId="0" applyNumberFormat="1" applyAlignment="1"/>
    <xf numFmtId="38" fontId="1" fillId="0" borderId="0" xfId="5"/>
    <xf numFmtId="38" fontId="9" fillId="0" borderId="0" xfId="6">
      <protection locked="0"/>
    </xf>
    <xf numFmtId="165" fontId="9" fillId="0" borderId="0" xfId="4">
      <protection locked="0"/>
    </xf>
    <xf numFmtId="38" fontId="9" fillId="0" borderId="0" xfId="4" applyNumberFormat="1">
      <protection locked="0"/>
    </xf>
    <xf numFmtId="38" fontId="2" fillId="0" borderId="0" xfId="6" applyFont="1" applyProtection="1"/>
    <xf numFmtId="1" fontId="1" fillId="0" borderId="0" xfId="0" applyNumberFormat="1" applyFont="1" applyAlignment="1"/>
    <xf numFmtId="177" fontId="1" fillId="0" borderId="0" xfId="0" applyNumberFormat="1" applyFont="1" applyAlignment="1"/>
    <xf numFmtId="169" fontId="1" fillId="0" borderId="0" xfId="0" applyNumberFormat="1" applyFont="1" applyAlignment="1"/>
    <xf numFmtId="0" fontId="21" fillId="0" borderId="2" xfId="0" applyFont="1" applyBorder="1" applyAlignment="1"/>
    <xf numFmtId="0" fontId="32" fillId="0" borderId="0" xfId="0" applyFont="1" applyAlignment="1">
      <alignment horizontal="left" vertical="center"/>
    </xf>
    <xf numFmtId="0" fontId="32" fillId="0" borderId="2" xfId="0" applyFont="1" applyBorder="1" applyAlignment="1"/>
    <xf numFmtId="0" fontId="20" fillId="0" borderId="2" xfId="0" applyFont="1" applyBorder="1" applyAlignment="1"/>
    <xf numFmtId="168" fontId="16" fillId="0" borderId="0" xfId="15" applyFont="1" applyAlignment="1">
      <alignment horizontal="center" vertical="top" wrapText="1"/>
    </xf>
    <xf numFmtId="168" fontId="17" fillId="0" borderId="0" xfId="15" applyFont="1" applyAlignment="1">
      <alignment horizontal="center" vertical="top" wrapText="1"/>
    </xf>
    <xf numFmtId="1" fontId="16" fillId="0" borderId="0" xfId="15" applyNumberFormat="1" applyFont="1" applyAlignment="1">
      <alignment horizontal="center" vertical="top" wrapText="1"/>
    </xf>
    <xf numFmtId="168" fontId="7" fillId="0" borderId="0" xfId="15" applyFont="1" applyAlignment="1">
      <alignment horizontal="left" vertical="top" wrapText="1"/>
    </xf>
    <xf numFmtId="168" fontId="20" fillId="0" borderId="0" xfId="15" applyFont="1" applyAlignment="1">
      <alignment horizontal="left" vertical="top" wrapText="1"/>
    </xf>
    <xf numFmtId="5" fontId="34" fillId="6" borderId="0" xfId="0" applyNumberFormat="1" applyFont="1" applyFill="1" applyAlignment="1">
      <alignment horizontal="center" vertical="top" wrapText="1"/>
    </xf>
    <xf numFmtId="5" fontId="35" fillId="6" borderId="0" xfId="0" applyNumberFormat="1" applyFont="1" applyFill="1" applyAlignment="1">
      <alignment horizontal="center" vertical="top" wrapText="1"/>
    </xf>
    <xf numFmtId="168" fontId="10" fillId="0" borderId="0" xfId="15" applyFont="1" applyAlignment="1">
      <alignment horizontal="left" vertical="top" wrapText="1"/>
    </xf>
    <xf numFmtId="0" fontId="34" fillId="6" borderId="0" xfId="13" applyFont="1" applyFill="1" applyAlignment="1">
      <alignment horizontal="center"/>
    </xf>
    <xf numFmtId="0" fontId="20" fillId="0" borderId="0" xfId="13" applyFont="1" applyAlignment="1">
      <alignment horizontal="center"/>
    </xf>
    <xf numFmtId="168" fontId="1" fillId="0" borderId="0" xfId="15" applyAlignment="1">
      <alignment horizontal="left" vertical="top" wrapText="1"/>
    </xf>
    <xf numFmtId="5" fontId="4" fillId="0" borderId="0" xfId="0" applyNumberFormat="1" applyFont="1" applyAlignment="1">
      <alignment horizontal="center"/>
    </xf>
    <xf numFmtId="5" fontId="0" fillId="0" borderId="0" xfId="0" applyNumberFormat="1" applyAlignment="1">
      <alignment horizontal="center"/>
    </xf>
    <xf numFmtId="5" fontId="34" fillId="6" borderId="0" xfId="0" applyNumberFormat="1" applyFont="1" applyFill="1" applyAlignment="1">
      <alignment horizontal="center"/>
    </xf>
    <xf numFmtId="3" fontId="28" fillId="6" borderId="0" xfId="0" applyNumberFormat="1" applyFont="1" applyFill="1" applyAlignment="1">
      <alignment horizontal="center" vertical="center"/>
    </xf>
  </cellXfs>
  <cellStyles count="27">
    <cellStyle name="Curr ($1,234) L Black" xfId="1" xr:uid="{00000000-0005-0000-0000-000000000000}"/>
    <cellStyle name="Curr ($1,234) U Blue" xfId="2" xr:uid="{00000000-0005-0000-0000-000001000000}"/>
    <cellStyle name="Curr ($1,234.00) L Black" xfId="3" xr:uid="{00000000-0005-0000-0000-000002000000}"/>
    <cellStyle name="Curr ($1,234.00) U Blue" xfId="4" xr:uid="{00000000-0005-0000-0000-000003000000}"/>
    <cellStyle name="Curr (1,234) L Black" xfId="5" xr:uid="{00000000-0005-0000-0000-000004000000}"/>
    <cellStyle name="Curr (1,234) U Blue" xfId="6" xr:uid="{00000000-0005-0000-0000-000005000000}"/>
    <cellStyle name="Curr (1,234.0) L Black" xfId="7" xr:uid="{00000000-0005-0000-0000-000006000000}"/>
    <cellStyle name="Curr (1,234.0) U Blue" xfId="8" xr:uid="{00000000-0005-0000-0000-000007000000}"/>
    <cellStyle name="Curr (1,234.00) L Black" xfId="9" xr:uid="{00000000-0005-0000-0000-000008000000}"/>
    <cellStyle name="Curr (1,234.00) U Blue" xfId="10" xr:uid="{00000000-0005-0000-0000-000009000000}"/>
    <cellStyle name="Hyperlink" xfId="11" builtinId="8"/>
    <cellStyle name="Normal" xfId="0" builtinId="0"/>
    <cellStyle name="Normal 2" xfId="12" xr:uid="{00000000-0005-0000-0000-00000C000000}"/>
    <cellStyle name="Normal 3" xfId="13" xr:uid="{00000000-0005-0000-0000-00000D000000}"/>
    <cellStyle name="Normal 4" xfId="14" xr:uid="{00000000-0005-0000-0000-00000E000000}"/>
    <cellStyle name="Normal_Farrow-Wean 500" xfId="15" xr:uid="{00000000-0005-0000-0000-00000F000000}"/>
    <cellStyle name="Num (1,234) L Black" xfId="16" xr:uid="{00000000-0005-0000-0000-000010000000}"/>
    <cellStyle name="Num (1,234) U Blue" xfId="17" xr:uid="{00000000-0005-0000-0000-000011000000}"/>
    <cellStyle name="Num (1,234.0) L Black" xfId="18" xr:uid="{00000000-0005-0000-0000-000012000000}"/>
    <cellStyle name="Num (1,234.0) U Blue" xfId="19" xr:uid="{00000000-0005-0000-0000-000013000000}"/>
    <cellStyle name="Num (1,234.10) L Black" xfId="20" xr:uid="{00000000-0005-0000-0000-000014000000}"/>
    <cellStyle name="Num (1,234.10) U Blue" xfId="21" xr:uid="{00000000-0005-0000-0000-000015000000}"/>
    <cellStyle name="Percent 00.00% L Black" xfId="22" xr:uid="{00000000-0005-0000-0000-000016000000}"/>
    <cellStyle name="Percent 00.00% U Blue" xfId="23" xr:uid="{00000000-0005-0000-0000-000017000000}"/>
    <cellStyle name="Standard_Anpassen der Amortisation" xfId="24" xr:uid="{00000000-0005-0000-0000-000018000000}"/>
    <cellStyle name="Währung [0]_Compiling Utility Macros" xfId="25" xr:uid="{00000000-0005-0000-0000-000019000000}"/>
    <cellStyle name="Währung_Compiling Utility Macros"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gov.mb.ca/agriculture/farm-management/cost-production/index.html" TargetMode="External"/><Relationship Id="rId2" Type="http://schemas.openxmlformats.org/officeDocument/2006/relationships/hyperlink" Target="https://www.gov.mb.ca/agriculture/farm-management/farm-machinery/index.html" TargetMode="External"/><Relationship Id="rId1" Type="http://schemas.openxmlformats.org/officeDocument/2006/relationships/image" Target="../media/image1.jpeg"/><Relationship Id="rId6" Type="http://schemas.openxmlformats.org/officeDocument/2006/relationships/image" Target="../media/image3.jpeg"/><Relationship Id="rId5" Type="http://schemas.openxmlformats.org/officeDocument/2006/relationships/hyperlink" Target="https://www.gov.mb.ca/agriculture/farm-management/farm-business-management-contacts.html"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gov.mb.ca/agriculture/farm-management/farm-business-management-contacts.html"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695325</xdr:colOff>
      <xdr:row>0</xdr:row>
      <xdr:rowOff>161925</xdr:rowOff>
    </xdr:from>
    <xdr:to>
      <xdr:col>10</xdr:col>
      <xdr:colOff>704850</xdr:colOff>
      <xdr:row>2</xdr:row>
      <xdr:rowOff>104775</xdr:rowOff>
    </xdr:to>
    <xdr:pic>
      <xdr:nvPicPr>
        <xdr:cNvPr id="5528" name="Picture 2" descr="Manitoba Government Logo.">
          <a:extLst>
            <a:ext uri="{FF2B5EF4-FFF2-40B4-BE49-F238E27FC236}">
              <a16:creationId xmlns:a16="http://schemas.microsoft.com/office/drawing/2014/main" id="{00000000-0008-0000-0000-0000981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161925"/>
          <a:ext cx="1571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227753</xdr:colOff>
      <xdr:row>41</xdr:row>
      <xdr:rowOff>228599</xdr:rowOff>
    </xdr:from>
    <xdr:to>
      <xdr:col>7</xdr:col>
      <xdr:colOff>588856</xdr:colOff>
      <xdr:row>43</xdr:row>
      <xdr:rowOff>20106</xdr:rowOff>
    </xdr:to>
    <xdr:sp macro="" textlink="">
      <xdr:nvSpPr>
        <xdr:cNvPr id="3" name="TextBox 2" descr="Click here to access the Farm Machinery Cost Guide in PDF format.">
          <a:hlinkClick xmlns:r="http://schemas.openxmlformats.org/officeDocument/2006/relationships" r:id="rId2" tooltip="Click here to access the farm Machinery Cost Guide in PDF format."/>
          <a:extLst>
            <a:ext uri="{FF2B5EF4-FFF2-40B4-BE49-F238E27FC236}">
              <a16:creationId xmlns:a16="http://schemas.microsoft.com/office/drawing/2014/main" id="{00000000-0008-0000-0000-000003000000}"/>
            </a:ext>
          </a:extLst>
        </xdr:cNvPr>
        <xdr:cNvSpPr txBox="1"/>
      </xdr:nvSpPr>
      <xdr:spPr>
        <a:xfrm>
          <a:off x="227753" y="9677399"/>
          <a:ext cx="4456853" cy="305857"/>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400" b="0" i="1" u="sng" baseline="0">
              <a:solidFill>
                <a:srgbClr val="0000FF"/>
              </a:solidFill>
              <a:uFill>
                <a:solidFill>
                  <a:srgbClr val="0000FF"/>
                </a:solidFill>
              </a:uFill>
              <a:latin typeface="Arial" pitchFamily="34" charset="0"/>
              <a:cs typeface="Arial" pitchFamily="34" charset="0"/>
            </a:rPr>
            <a:t>The Farm Machinery Cost of Production Guide</a:t>
          </a:r>
          <a:endParaRPr lang="en-CA" sz="1400" b="0" i="1" u="none" baseline="0">
            <a:solidFill>
              <a:sysClr val="windowText" lastClr="000000"/>
            </a:solidFill>
            <a:latin typeface="Arial" pitchFamily="34" charset="0"/>
            <a:cs typeface="Arial" pitchFamily="34" charset="0"/>
          </a:endParaRPr>
        </a:p>
      </xdr:txBody>
    </xdr:sp>
    <xdr:clientData/>
  </xdr:twoCellAnchor>
  <xdr:twoCellAnchor editAs="oneCell">
    <xdr:from>
      <xdr:col>5</xdr:col>
      <xdr:colOff>328141</xdr:colOff>
      <xdr:row>34</xdr:row>
      <xdr:rowOff>76200</xdr:rowOff>
    </xdr:from>
    <xdr:to>
      <xdr:col>7</xdr:col>
      <xdr:colOff>271934</xdr:colOff>
      <xdr:row>38</xdr:row>
      <xdr:rowOff>238125</xdr:rowOff>
    </xdr:to>
    <xdr:pic>
      <xdr:nvPicPr>
        <xdr:cNvPr id="5530" name="Picture 1" descr="QR code leading to all cost of production calculators.">
          <a:hlinkClick xmlns:r="http://schemas.openxmlformats.org/officeDocument/2006/relationships" r:id="rId3" tooltip="Click here for list of Cost of Production Guides"/>
          <a:extLst>
            <a:ext uri="{FF2B5EF4-FFF2-40B4-BE49-F238E27FC236}">
              <a16:creationId xmlns:a16="http://schemas.microsoft.com/office/drawing/2014/main" id="{00000000-0008-0000-0000-00009A15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3277081" y="7669530"/>
          <a:ext cx="1193473" cy="1183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44</xdr:row>
      <xdr:rowOff>142875</xdr:rowOff>
    </xdr:from>
    <xdr:to>
      <xdr:col>9</xdr:col>
      <xdr:colOff>400050</xdr:colOff>
      <xdr:row>50</xdr:row>
      <xdr:rowOff>9525</xdr:rowOff>
    </xdr:to>
    <xdr:pic>
      <xdr:nvPicPr>
        <xdr:cNvPr id="5531" name="Picture 6" descr="Farm Management Contact Info.">
          <a:hlinkClick xmlns:r="http://schemas.openxmlformats.org/officeDocument/2006/relationships" r:id="rId5" tooltip="Click here for a list of Farm Management contacts."/>
          <a:extLst>
            <a:ext uri="{FF2B5EF4-FFF2-40B4-BE49-F238E27FC236}">
              <a16:creationId xmlns:a16="http://schemas.microsoft.com/office/drawing/2014/main" id="{00000000-0008-0000-0000-00009B15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43050" y="10334625"/>
          <a:ext cx="45148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231</xdr:row>
      <xdr:rowOff>85725</xdr:rowOff>
    </xdr:from>
    <xdr:to>
      <xdr:col>9</xdr:col>
      <xdr:colOff>419100</xdr:colOff>
      <xdr:row>236</xdr:row>
      <xdr:rowOff>133350</xdr:rowOff>
    </xdr:to>
    <xdr:pic>
      <xdr:nvPicPr>
        <xdr:cNvPr id="7411" name="Picture 6" descr="Farm Management Contact Info.">
          <a:hlinkClick xmlns:r="http://schemas.openxmlformats.org/officeDocument/2006/relationships" r:id="rId1" tooltip="Click here for a list of Farm Management contacts."/>
          <a:extLst>
            <a:ext uri="{FF2B5EF4-FFF2-40B4-BE49-F238E27FC236}">
              <a16:creationId xmlns:a16="http://schemas.microsoft.com/office/drawing/2014/main" id="{00000000-0008-0000-0400-0000F31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0" y="45119925"/>
          <a:ext cx="45148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3:L54"/>
  <sheetViews>
    <sheetView showGridLines="0" tabSelected="1" zoomScaleNormal="100" zoomScaleSheetLayoutView="100" workbookViewId="0"/>
  </sheetViews>
  <sheetFormatPr defaultColWidth="9.109375" defaultRowHeight="15" x14ac:dyDescent="0.4"/>
  <cols>
    <col min="1" max="1" width="3.6640625" style="50" customWidth="1"/>
    <col min="2" max="2" width="12" style="50" customWidth="1"/>
    <col min="3" max="7" width="9.109375" style="50"/>
    <col min="8" max="11" width="11.6640625" style="50" customWidth="1"/>
    <col min="12" max="16384" width="9.109375" style="50"/>
  </cols>
  <sheetData>
    <row r="3" spans="1:12" s="52" customFormat="1" ht="27" x14ac:dyDescent="0.4">
      <c r="A3" s="51" t="s">
        <v>158</v>
      </c>
    </row>
    <row r="4" spans="1:12" s="52" customFormat="1" ht="15" customHeight="1" x14ac:dyDescent="0.4">
      <c r="A4" s="51"/>
    </row>
    <row r="5" spans="1:12" ht="19.8" x14ac:dyDescent="0.4">
      <c r="A5" s="180" t="s">
        <v>159</v>
      </c>
      <c r="B5" s="180"/>
      <c r="C5" s="180"/>
      <c r="D5" s="180"/>
      <c r="E5" s="180"/>
      <c r="F5" s="180"/>
      <c r="G5" s="180"/>
      <c r="H5" s="180"/>
      <c r="I5" s="180"/>
      <c r="J5" s="180"/>
      <c r="K5" s="180"/>
      <c r="L5" s="180"/>
    </row>
    <row r="6" spans="1:12" ht="25.2" x14ac:dyDescent="0.4">
      <c r="A6" s="181" t="s">
        <v>162</v>
      </c>
      <c r="B6" s="181"/>
      <c r="C6" s="181"/>
      <c r="D6" s="181"/>
      <c r="E6" s="181"/>
      <c r="F6" s="181"/>
      <c r="G6" s="181"/>
      <c r="H6" s="181"/>
      <c r="I6" s="181"/>
      <c r="J6" s="181"/>
      <c r="K6" s="181"/>
      <c r="L6" s="181"/>
    </row>
    <row r="7" spans="1:12" ht="19.8" x14ac:dyDescent="0.4">
      <c r="A7" s="182" t="str">
        <f>"Based on a "&amp;Input!F10&amp;" Head (Steers)"</f>
        <v>Based on a 500 Head (Steers)</v>
      </c>
      <c r="B7" s="182"/>
      <c r="C7" s="182"/>
      <c r="D7" s="182"/>
      <c r="E7" s="182"/>
      <c r="F7" s="182"/>
      <c r="G7" s="182"/>
      <c r="H7" s="182"/>
      <c r="I7" s="182"/>
      <c r="J7" s="182"/>
      <c r="K7" s="182"/>
      <c r="L7" s="182"/>
    </row>
    <row r="8" spans="1:12" ht="20.25" customHeight="1" x14ac:dyDescent="0.4"/>
    <row r="9" spans="1:12" ht="21" customHeight="1" x14ac:dyDescent="0.4">
      <c r="H9" s="54"/>
      <c r="I9" s="53" t="s">
        <v>116</v>
      </c>
      <c r="J9" s="54"/>
      <c r="K9" s="53" t="s">
        <v>264</v>
      </c>
    </row>
    <row r="12" spans="1:12" x14ac:dyDescent="0.4">
      <c r="G12" s="55"/>
    </row>
    <row r="13" spans="1:12" x14ac:dyDescent="0.4">
      <c r="B13" s="56"/>
      <c r="C13" s="57"/>
      <c r="D13" s="57"/>
      <c r="E13" s="57"/>
      <c r="F13" s="57"/>
      <c r="G13" s="57"/>
      <c r="H13" s="57"/>
      <c r="I13" s="57"/>
      <c r="J13" s="57"/>
      <c r="K13" s="57"/>
    </row>
    <row r="14" spans="1:12" ht="15" customHeight="1" x14ac:dyDescent="0.4">
      <c r="B14" s="183" t="s">
        <v>261</v>
      </c>
      <c r="C14" s="183"/>
      <c r="D14" s="183"/>
      <c r="E14" s="183"/>
      <c r="F14" s="183"/>
      <c r="G14" s="183"/>
      <c r="H14" s="183"/>
      <c r="I14" s="183"/>
      <c r="J14" s="183"/>
      <c r="K14" s="183"/>
    </row>
    <row r="15" spans="1:12" ht="15" customHeight="1" x14ac:dyDescent="0.4">
      <c r="B15" s="183"/>
      <c r="C15" s="183"/>
      <c r="D15" s="183"/>
      <c r="E15" s="183"/>
      <c r="F15" s="183"/>
      <c r="G15" s="183"/>
      <c r="H15" s="183"/>
      <c r="I15" s="183"/>
      <c r="J15" s="183"/>
      <c r="K15" s="183"/>
    </row>
    <row r="16" spans="1:12" ht="18.75" customHeight="1" x14ac:dyDescent="0.4">
      <c r="B16" s="183"/>
      <c r="C16" s="183"/>
      <c r="D16" s="183"/>
      <c r="E16" s="183"/>
      <c r="F16" s="183"/>
      <c r="G16" s="183"/>
      <c r="H16" s="183"/>
      <c r="I16" s="183"/>
      <c r="J16" s="183"/>
      <c r="K16" s="183"/>
    </row>
    <row r="17" spans="2:11" ht="18.75" customHeight="1" x14ac:dyDescent="0.4">
      <c r="B17" s="183"/>
      <c r="C17" s="183"/>
      <c r="D17" s="183"/>
      <c r="E17" s="183"/>
      <c r="F17" s="183"/>
      <c r="G17" s="183"/>
      <c r="H17" s="183"/>
      <c r="I17" s="183"/>
      <c r="J17" s="183"/>
      <c r="K17" s="183"/>
    </row>
    <row r="18" spans="2:11" ht="18.75" customHeight="1" x14ac:dyDescent="0.4">
      <c r="B18" s="183"/>
      <c r="C18" s="183"/>
      <c r="D18" s="183"/>
      <c r="E18" s="183"/>
      <c r="F18" s="183"/>
      <c r="G18" s="183"/>
      <c r="H18" s="183"/>
      <c r="I18" s="183"/>
      <c r="J18" s="183"/>
      <c r="K18" s="183"/>
    </row>
    <row r="19" spans="2:11" ht="18.75" customHeight="1" x14ac:dyDescent="0.4">
      <c r="B19" s="183"/>
      <c r="C19" s="183"/>
      <c r="D19" s="183"/>
      <c r="E19" s="183"/>
      <c r="F19" s="183"/>
      <c r="G19" s="183"/>
      <c r="H19" s="183"/>
      <c r="I19" s="183"/>
      <c r="J19" s="183"/>
      <c r="K19" s="183"/>
    </row>
    <row r="20" spans="2:11" ht="18.75" customHeight="1" x14ac:dyDescent="0.4">
      <c r="B20" s="183"/>
      <c r="C20" s="183"/>
      <c r="D20" s="183"/>
      <c r="E20" s="183"/>
      <c r="F20" s="183"/>
      <c r="G20" s="183"/>
      <c r="H20" s="183"/>
      <c r="I20" s="183"/>
      <c r="J20" s="183"/>
      <c r="K20" s="183"/>
    </row>
    <row r="21" spans="2:11" ht="18.75" customHeight="1" x14ac:dyDescent="0.4">
      <c r="B21" s="183"/>
      <c r="C21" s="183"/>
      <c r="D21" s="183"/>
      <c r="E21" s="183"/>
      <c r="F21" s="183"/>
      <c r="G21" s="183"/>
      <c r="H21" s="183"/>
      <c r="I21" s="183"/>
      <c r="J21" s="183"/>
      <c r="K21" s="183"/>
    </row>
    <row r="22" spans="2:11" ht="18.75" customHeight="1" x14ac:dyDescent="0.4">
      <c r="B22" s="58"/>
      <c r="C22" s="58"/>
      <c r="D22" s="58"/>
      <c r="E22" s="58"/>
      <c r="F22" s="58"/>
      <c r="G22" s="58"/>
      <c r="H22" s="58"/>
      <c r="I22" s="58"/>
      <c r="J22" s="58"/>
      <c r="K22" s="58"/>
    </row>
    <row r="23" spans="2:11" ht="18.75" customHeight="1" x14ac:dyDescent="0.4">
      <c r="B23" s="183" t="str">
        <f>"Manitoba has an abundance of competively priced land suitable for pasturing cattle (ie. Community Pastures, Agricultural Crown Lands, private pastures, etc.).  In this budget it is assumed that feeders are purchased in the spring and put in a feedlot for "&amp;Input!F22&amp;" days prior to being placed on pasture for an additional "&amp;Input!F23&amp;" days."</f>
        <v>Manitoba has an abundance of competively priced land suitable for pasturing cattle (ie. Community Pastures, Agricultural Crown Lands, private pastures, etc.).  In this budget it is assumed that feeders are purchased in the spring and put in a feedlot for 60 days prior to being placed on pasture for an additional 90 days.</v>
      </c>
      <c r="C23" s="183"/>
      <c r="D23" s="183"/>
      <c r="E23" s="183"/>
      <c r="F23" s="183"/>
      <c r="G23" s="183"/>
      <c r="H23" s="183"/>
      <c r="I23" s="183"/>
      <c r="J23" s="183"/>
      <c r="K23" s="183"/>
    </row>
    <row r="24" spans="2:11" ht="18.75" customHeight="1" x14ac:dyDescent="0.4">
      <c r="B24" s="183"/>
      <c r="C24" s="183"/>
      <c r="D24" s="183"/>
      <c r="E24" s="183"/>
      <c r="F24" s="183"/>
      <c r="G24" s="183"/>
      <c r="H24" s="183"/>
      <c r="I24" s="183"/>
      <c r="J24" s="183"/>
      <c r="K24" s="183"/>
    </row>
    <row r="25" spans="2:11" ht="18.75" customHeight="1" x14ac:dyDescent="0.4">
      <c r="B25" s="183"/>
      <c r="C25" s="183"/>
      <c r="D25" s="183"/>
      <c r="E25" s="183"/>
      <c r="F25" s="183"/>
      <c r="G25" s="183"/>
      <c r="H25" s="183"/>
      <c r="I25" s="183"/>
      <c r="J25" s="183"/>
      <c r="K25" s="183"/>
    </row>
    <row r="26" spans="2:11" ht="18.75" customHeight="1" x14ac:dyDescent="0.4">
      <c r="B26" s="183"/>
      <c r="C26" s="183"/>
      <c r="D26" s="183"/>
      <c r="E26" s="183"/>
      <c r="F26" s="183"/>
      <c r="G26" s="183"/>
      <c r="H26" s="183"/>
      <c r="I26" s="183"/>
      <c r="J26" s="183"/>
      <c r="K26" s="183"/>
    </row>
    <row r="27" spans="2:11" ht="17.399999999999999" x14ac:dyDescent="0.4">
      <c r="B27" s="59"/>
      <c r="C27" s="59"/>
      <c r="D27" s="59"/>
      <c r="E27" s="59"/>
      <c r="F27" s="59"/>
      <c r="G27" s="59"/>
      <c r="H27" s="59"/>
      <c r="I27" s="59"/>
      <c r="J27" s="59"/>
      <c r="K27" s="59"/>
    </row>
    <row r="28" spans="2:11" ht="15" customHeight="1" x14ac:dyDescent="0.4">
      <c r="B28" s="183" t="s">
        <v>235</v>
      </c>
      <c r="C28" s="183"/>
      <c r="D28" s="183"/>
      <c r="E28" s="183"/>
      <c r="F28" s="183"/>
      <c r="G28" s="183"/>
      <c r="H28" s="183"/>
      <c r="I28" s="183"/>
      <c r="J28" s="183"/>
      <c r="K28" s="183"/>
    </row>
    <row r="29" spans="2:11" ht="15" customHeight="1" x14ac:dyDescent="0.4">
      <c r="B29" s="183"/>
      <c r="C29" s="183"/>
      <c r="D29" s="183"/>
      <c r="E29" s="183"/>
      <c r="F29" s="183"/>
      <c r="G29" s="183"/>
      <c r="H29" s="183"/>
      <c r="I29" s="183"/>
      <c r="J29" s="183"/>
      <c r="K29" s="183"/>
    </row>
    <row r="30" spans="2:11" ht="15" customHeight="1" x14ac:dyDescent="0.4">
      <c r="B30" s="183"/>
      <c r="C30" s="183"/>
      <c r="D30" s="183"/>
      <c r="E30" s="183"/>
      <c r="F30" s="183"/>
      <c r="G30" s="183"/>
      <c r="H30" s="183"/>
      <c r="I30" s="183"/>
      <c r="J30" s="183"/>
      <c r="K30" s="183"/>
    </row>
    <row r="31" spans="2:11" ht="15" customHeight="1" x14ac:dyDescent="0.4">
      <c r="B31" s="183"/>
      <c r="C31" s="183"/>
      <c r="D31" s="183"/>
      <c r="E31" s="183"/>
      <c r="F31" s="183"/>
      <c r="G31" s="183"/>
      <c r="H31" s="183"/>
      <c r="I31" s="183"/>
      <c r="J31" s="183"/>
      <c r="K31" s="183"/>
    </row>
    <row r="32" spans="2:11" ht="15" customHeight="1" x14ac:dyDescent="0.4">
      <c r="B32" s="183"/>
      <c r="C32" s="183"/>
      <c r="D32" s="183"/>
      <c r="E32" s="183"/>
      <c r="F32" s="183"/>
      <c r="G32" s="183"/>
      <c r="H32" s="183"/>
      <c r="I32" s="183"/>
      <c r="J32" s="183"/>
      <c r="K32" s="183"/>
    </row>
    <row r="33" spans="2:12" ht="15" customHeight="1" x14ac:dyDescent="0.4">
      <c r="B33" s="58"/>
      <c r="C33" s="58"/>
      <c r="D33" s="58"/>
      <c r="E33" s="58"/>
      <c r="F33" s="58"/>
      <c r="G33" s="58"/>
      <c r="H33" s="58"/>
      <c r="I33" s="58"/>
      <c r="J33" s="58"/>
      <c r="K33" s="58"/>
    </row>
    <row r="34" spans="2:12" ht="18" customHeight="1" x14ac:dyDescent="0.4">
      <c r="B34" s="153" t="s">
        <v>236</v>
      </c>
      <c r="C34" s="153"/>
      <c r="D34" s="153"/>
      <c r="E34" s="153"/>
      <c r="F34" s="153"/>
      <c r="G34" s="153"/>
      <c r="H34" s="153"/>
      <c r="I34" s="153"/>
      <c r="J34" s="153"/>
      <c r="K34" s="153"/>
      <c r="L34" s="153"/>
    </row>
    <row r="35" spans="2:12" ht="20.25" customHeight="1" x14ac:dyDescent="0.4">
      <c r="B35" s="154"/>
      <c r="C35" s="153"/>
      <c r="D35" s="153"/>
      <c r="E35" s="153"/>
      <c r="F35" s="153"/>
      <c r="G35" s="153"/>
      <c r="H35" s="153"/>
      <c r="I35" s="153"/>
      <c r="J35" s="153"/>
      <c r="K35" s="153"/>
      <c r="L35" s="153"/>
    </row>
    <row r="36" spans="2:12" ht="20.25" customHeight="1" x14ac:dyDescent="0.4">
      <c r="B36" s="154"/>
      <c r="C36" s="153"/>
      <c r="D36" s="153"/>
      <c r="E36" s="153"/>
      <c r="F36" s="153"/>
      <c r="G36" s="153"/>
      <c r="H36" s="153"/>
      <c r="I36" s="153"/>
      <c r="J36" s="153"/>
      <c r="K36" s="153"/>
      <c r="L36" s="153"/>
    </row>
    <row r="37" spans="2:12" ht="20.25" customHeight="1" x14ac:dyDescent="0.4">
      <c r="B37" s="154"/>
      <c r="C37" s="153"/>
      <c r="D37" s="153"/>
      <c r="E37" s="153"/>
      <c r="F37" s="153"/>
      <c r="G37" s="153"/>
      <c r="H37" s="153"/>
      <c r="I37" s="153"/>
      <c r="J37" s="153"/>
      <c r="K37" s="153"/>
      <c r="L37" s="153"/>
    </row>
    <row r="38" spans="2:12" ht="20.25" customHeight="1" x14ac:dyDescent="0.4">
      <c r="B38" s="154"/>
      <c r="C38" s="153"/>
      <c r="D38" s="153"/>
      <c r="E38" s="153"/>
      <c r="F38" s="153"/>
      <c r="G38" s="153"/>
      <c r="H38" s="153"/>
      <c r="I38" s="153"/>
      <c r="J38" s="153"/>
      <c r="K38" s="153"/>
      <c r="L38" s="153"/>
    </row>
    <row r="39" spans="2:12" ht="20.25" customHeight="1" x14ac:dyDescent="0.4">
      <c r="B39" s="154"/>
      <c r="C39" s="153"/>
      <c r="D39" s="153"/>
      <c r="E39" s="153"/>
      <c r="F39" s="153"/>
      <c r="G39" s="153"/>
      <c r="H39" s="153"/>
      <c r="I39" s="153"/>
      <c r="J39" s="153"/>
      <c r="K39" s="153"/>
      <c r="L39" s="153"/>
    </row>
    <row r="40" spans="2:12" ht="20.25" customHeight="1" x14ac:dyDescent="0.4">
      <c r="B40" s="154"/>
      <c r="C40" s="153"/>
      <c r="D40" s="153"/>
      <c r="E40" s="153"/>
      <c r="F40" s="153"/>
      <c r="G40" s="153"/>
      <c r="H40" s="153"/>
      <c r="I40" s="153"/>
      <c r="J40" s="153"/>
      <c r="K40" s="153"/>
      <c r="L40" s="153"/>
    </row>
    <row r="41" spans="2:12" ht="20.25" customHeight="1" x14ac:dyDescent="0.4">
      <c r="B41" s="154"/>
      <c r="C41" s="153"/>
      <c r="D41" s="153"/>
      <c r="E41" s="153"/>
      <c r="F41" s="153"/>
      <c r="G41" s="153"/>
      <c r="H41" s="153"/>
      <c r="I41" s="153"/>
      <c r="J41" s="153"/>
      <c r="K41" s="153"/>
      <c r="L41" s="153"/>
    </row>
    <row r="42" spans="2:12" ht="20.25" customHeight="1" x14ac:dyDescent="0.4">
      <c r="B42" s="154"/>
      <c r="C42" s="153"/>
      <c r="D42" s="153"/>
      <c r="E42" s="153"/>
      <c r="F42" s="153"/>
      <c r="G42" s="153"/>
      <c r="H42" s="153"/>
      <c r="I42" s="153"/>
      <c r="J42" s="153"/>
      <c r="K42" s="153"/>
      <c r="L42" s="153"/>
    </row>
    <row r="43" spans="2:12" ht="20.25" customHeight="1" x14ac:dyDescent="0.4">
      <c r="B43" s="154"/>
      <c r="C43" s="153"/>
      <c r="D43" s="153"/>
      <c r="E43" s="153"/>
      <c r="F43" s="153"/>
      <c r="G43" s="153"/>
      <c r="H43" s="153"/>
      <c r="I43" s="153" t="s">
        <v>237</v>
      </c>
      <c r="J43" s="153"/>
      <c r="K43" s="153"/>
      <c r="L43" s="153"/>
    </row>
    <row r="44" spans="2:12" ht="18" customHeight="1" x14ac:dyDescent="0.4">
      <c r="B44" s="153" t="s">
        <v>238</v>
      </c>
      <c r="C44" s="155"/>
      <c r="D44" s="155"/>
      <c r="E44" s="155"/>
      <c r="F44" s="155"/>
      <c r="G44" s="155"/>
      <c r="H44" s="155"/>
      <c r="I44" s="155"/>
      <c r="J44" s="155"/>
      <c r="K44" s="155"/>
      <c r="L44" s="155"/>
    </row>
    <row r="45" spans="2:12" ht="15" customHeight="1" x14ac:dyDescent="0.4">
      <c r="B45" s="59"/>
      <c r="C45" s="59"/>
      <c r="D45" s="59"/>
      <c r="E45" s="59"/>
      <c r="F45" s="59"/>
      <c r="G45" s="59"/>
      <c r="H45" s="59"/>
      <c r="I45" s="59"/>
      <c r="J45" s="59"/>
      <c r="K45" s="59"/>
    </row>
    <row r="46" spans="2:12" ht="15" customHeight="1" x14ac:dyDescent="0.4">
      <c r="B46" s="59"/>
      <c r="C46" s="59"/>
      <c r="D46" s="59"/>
      <c r="E46" s="59"/>
      <c r="F46" s="59"/>
      <c r="G46" s="59"/>
      <c r="H46" s="59"/>
      <c r="I46" s="59"/>
      <c r="J46" s="59"/>
      <c r="K46" s="59"/>
    </row>
    <row r="47" spans="2:12" ht="15" customHeight="1" x14ac:dyDescent="0.4">
      <c r="B47" s="59"/>
      <c r="C47" s="59"/>
      <c r="D47" s="59"/>
      <c r="E47" s="59"/>
      <c r="F47" s="59"/>
      <c r="G47" s="59"/>
      <c r="H47" s="59"/>
      <c r="I47" s="59"/>
      <c r="J47" s="59"/>
      <c r="K47" s="59"/>
    </row>
    <row r="48" spans="2:12" ht="15" customHeight="1" x14ac:dyDescent="0.4">
      <c r="B48" s="59"/>
      <c r="C48" s="59"/>
      <c r="D48" s="59"/>
      <c r="E48" s="59"/>
      <c r="F48" s="59"/>
      <c r="G48" s="59"/>
      <c r="H48" s="59"/>
      <c r="I48" s="59"/>
      <c r="J48" s="59"/>
      <c r="K48" s="59"/>
    </row>
    <row r="49" spans="2:12" ht="15" customHeight="1" x14ac:dyDescent="0.4">
      <c r="B49" s="59"/>
      <c r="C49" s="59"/>
      <c r="D49" s="59"/>
      <c r="E49" s="59"/>
      <c r="F49" s="59"/>
      <c r="G49" s="59"/>
      <c r="H49" s="59"/>
      <c r="I49" s="59"/>
      <c r="J49" s="59"/>
      <c r="K49" s="59"/>
    </row>
    <row r="50" spans="2:12" ht="15" customHeight="1" x14ac:dyDescent="0.4">
      <c r="B50" s="59"/>
      <c r="C50" s="59"/>
      <c r="D50" s="59"/>
      <c r="E50" s="59"/>
      <c r="F50" s="59"/>
      <c r="G50" s="59"/>
      <c r="H50" s="59"/>
      <c r="I50" s="59"/>
      <c r="J50" s="59"/>
      <c r="K50" s="59"/>
    </row>
    <row r="51" spans="2:12" ht="15" customHeight="1" x14ac:dyDescent="0.4">
      <c r="B51" s="59"/>
      <c r="C51" s="59"/>
      <c r="D51" s="59"/>
      <c r="E51" s="59"/>
      <c r="F51" s="59"/>
      <c r="G51" s="59"/>
      <c r="H51" s="59"/>
      <c r="I51" s="59"/>
      <c r="J51" s="59"/>
      <c r="K51" s="59"/>
    </row>
    <row r="52" spans="2:12" ht="18" customHeight="1" x14ac:dyDescent="0.4">
      <c r="B52" s="184" t="s">
        <v>263</v>
      </c>
      <c r="C52" s="184"/>
      <c r="D52" s="184"/>
      <c r="E52" s="184"/>
      <c r="F52" s="184"/>
      <c r="G52" s="184"/>
      <c r="H52" s="184"/>
      <c r="I52" s="184"/>
      <c r="J52" s="184"/>
      <c r="K52" s="184"/>
      <c r="L52" s="60"/>
    </row>
    <row r="53" spans="2:12" ht="18" customHeight="1" x14ac:dyDescent="0.4">
      <c r="B53" s="184"/>
      <c r="C53" s="184"/>
      <c r="D53" s="184"/>
      <c r="E53" s="184"/>
      <c r="F53" s="184"/>
      <c r="G53" s="184"/>
      <c r="H53" s="184"/>
      <c r="I53" s="184"/>
      <c r="J53" s="184"/>
      <c r="K53" s="184"/>
      <c r="L53" s="60"/>
    </row>
    <row r="54" spans="2:12" ht="18" customHeight="1" x14ac:dyDescent="0.4">
      <c r="B54" s="184"/>
      <c r="C54" s="184"/>
      <c r="D54" s="184"/>
      <c r="E54" s="184"/>
      <c r="F54" s="184"/>
      <c r="G54" s="184"/>
      <c r="H54" s="184"/>
      <c r="I54" s="184"/>
      <c r="J54" s="184"/>
      <c r="K54" s="184"/>
      <c r="L54" s="60"/>
    </row>
  </sheetData>
  <sheetProtection algorithmName="SHA-512" hashValue="C+y3N093gJx4lBVhI1D1/DM8MiXhDNN888CTC7VG7+Tkjx6mREhvWfZHJmDG1aQNCO8NPvLC+0FKpHvVqqeOtw==" saltValue="rA2H1Y0sDK5NB9KB5BiZow==" spinCount="100000" sheet="1" objects="1" scenarios="1"/>
  <mergeCells count="7">
    <mergeCell ref="A5:L5"/>
    <mergeCell ref="A6:L6"/>
    <mergeCell ref="A7:L7"/>
    <mergeCell ref="B14:K21"/>
    <mergeCell ref="B52:K54"/>
    <mergeCell ref="B23:K26"/>
    <mergeCell ref="B28:K32"/>
  </mergeCells>
  <pageMargins left="0.74803149606299213" right="0.55118110236220474" top="0.86614173228346458" bottom="0.98425196850393704" header="0.51181102362204722" footer="0.51181102362204722"/>
  <pageSetup scale="66" orientation="portrait"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Q117"/>
  <sheetViews>
    <sheetView showGridLines="0" zoomScaleNormal="100" workbookViewId="0"/>
  </sheetViews>
  <sheetFormatPr defaultColWidth="10.21875" defaultRowHeight="15" x14ac:dyDescent="0.5"/>
  <cols>
    <col min="1" max="1" width="3.77734375" style="1" customWidth="1"/>
    <col min="2" max="3" width="10.21875" style="1" customWidth="1"/>
    <col min="4" max="5" width="7.77734375" style="1" customWidth="1"/>
    <col min="6" max="6" width="11.44140625" style="1" bestFit="1" customWidth="1"/>
    <col min="7" max="7" width="3.77734375" style="1" customWidth="1"/>
    <col min="8" max="8" width="14.21875" style="1" customWidth="1"/>
    <col min="9" max="9" width="6.6640625" style="1" customWidth="1"/>
    <col min="10" max="10" width="14.21875" style="1" customWidth="1"/>
    <col min="11" max="11" width="3.109375" style="1" customWidth="1"/>
    <col min="12" max="12" width="12.77734375" style="1" customWidth="1"/>
    <col min="13" max="16384" width="10.21875" style="1"/>
  </cols>
  <sheetData>
    <row r="1" spans="1:12" ht="19.5" customHeight="1" x14ac:dyDescent="0.5">
      <c r="A1" s="66"/>
      <c r="B1" s="185" t="str">
        <f>"Beef Grassing Cost Summary - " &amp;Introduction!K9&amp;""</f>
        <v>Beef Grassing Cost Summary - April, 2024</v>
      </c>
      <c r="C1" s="186"/>
      <c r="D1" s="186"/>
      <c r="E1" s="186"/>
      <c r="F1" s="186"/>
      <c r="G1" s="186"/>
      <c r="H1" s="186"/>
      <c r="I1" s="186"/>
      <c r="J1" s="186"/>
      <c r="K1" s="186"/>
      <c r="L1" s="186"/>
    </row>
    <row r="3" spans="1:12" x14ac:dyDescent="0.5">
      <c r="H3" s="37" t="s">
        <v>30</v>
      </c>
      <c r="J3" s="20" t="s">
        <v>145</v>
      </c>
      <c r="L3" s="20" t="s">
        <v>31</v>
      </c>
    </row>
    <row r="4" spans="1:12" x14ac:dyDescent="0.5">
      <c r="A4" s="6" t="s">
        <v>95</v>
      </c>
    </row>
    <row r="5" spans="1:12" x14ac:dyDescent="0.5">
      <c r="A5" s="6" t="s">
        <v>33</v>
      </c>
      <c r="H5" s="4" t="s">
        <v>0</v>
      </c>
    </row>
    <row r="6" spans="1:12" x14ac:dyDescent="0.5">
      <c r="B6" s="1" t="s">
        <v>179</v>
      </c>
      <c r="H6" s="4">
        <f>Details!E25</f>
        <v>18.75</v>
      </c>
      <c r="J6" s="4">
        <f>H6/(Input!$F$16/100)</f>
        <v>2.2163120567375882</v>
      </c>
      <c r="L6" s="7"/>
    </row>
    <row r="7" spans="1:12" x14ac:dyDescent="0.5">
      <c r="B7" s="1" t="s">
        <v>180</v>
      </c>
      <c r="H7" s="25">
        <f>Details!E32</f>
        <v>41.9</v>
      </c>
      <c r="J7" s="4">
        <f>H7/(Input!$F$16/100)</f>
        <v>4.9527186761229309</v>
      </c>
      <c r="L7" s="9"/>
    </row>
    <row r="8" spans="1:12" x14ac:dyDescent="0.5">
      <c r="B8" s="1" t="s">
        <v>191</v>
      </c>
      <c r="H8" s="48">
        <f>Details!E37</f>
        <v>16.2</v>
      </c>
      <c r="J8" s="44">
        <f>H8/(Input!$F$16/100)</f>
        <v>1.9148936170212763</v>
      </c>
      <c r="L8" s="10"/>
    </row>
    <row r="9" spans="1:12" x14ac:dyDescent="0.5">
      <c r="B9" s="6" t="s">
        <v>181</v>
      </c>
      <c r="H9" s="11">
        <f>SUM(H6:H8)</f>
        <v>76.849999999999994</v>
      </c>
      <c r="I9" s="11"/>
      <c r="J9" s="11">
        <f>SUM(J6:J8)</f>
        <v>9.0839243498817961</v>
      </c>
      <c r="L9" s="12"/>
    </row>
    <row r="10" spans="1:12" x14ac:dyDescent="0.5">
      <c r="A10" s="6" t="s">
        <v>37</v>
      </c>
    </row>
    <row r="11" spans="1:12" x14ac:dyDescent="0.5">
      <c r="B11" s="1" t="str">
        <f>"2.01  Feeder Cost ("&amp;Input!F12&amp;" lb steer @ $"&amp;Input!F13&amp;"/cwt)"</f>
        <v>2.01  Feeder Cost (600 lb steer @ $380/cwt)</v>
      </c>
      <c r="H11" s="4">
        <f>Details!E60</f>
        <v>2292.3000000000002</v>
      </c>
      <c r="J11" s="4">
        <f>H11/(Input!$F$16/100)</f>
        <v>270.95744680851061</v>
      </c>
      <c r="L11" s="13"/>
    </row>
    <row r="12" spans="1:12" x14ac:dyDescent="0.5">
      <c r="B12" s="1" t="s">
        <v>182</v>
      </c>
      <c r="H12" s="25">
        <f>Details!E69</f>
        <v>56</v>
      </c>
      <c r="J12" s="4">
        <f>H12/(Input!$F$16/100)</f>
        <v>6.619385342789597</v>
      </c>
      <c r="L12" s="9"/>
    </row>
    <row r="13" spans="1:12" x14ac:dyDescent="0.5">
      <c r="B13" s="1" t="s">
        <v>183</v>
      </c>
      <c r="H13" s="4">
        <f>Details!E74</f>
        <v>81</v>
      </c>
      <c r="J13" s="4">
        <f>H13/(Input!$F$16/100)</f>
        <v>9.5744680851063819</v>
      </c>
      <c r="L13" s="9"/>
    </row>
    <row r="14" spans="1:12" x14ac:dyDescent="0.5">
      <c r="B14" s="1" t="s">
        <v>184</v>
      </c>
      <c r="H14" s="4">
        <f>Details!E79</f>
        <v>1.6</v>
      </c>
      <c r="J14" s="4">
        <f>H14/(Input!$F$16/100)</f>
        <v>0.18912529550827423</v>
      </c>
      <c r="L14" s="9"/>
    </row>
    <row r="15" spans="1:12" x14ac:dyDescent="0.5">
      <c r="B15" s="1" t="s">
        <v>185</v>
      </c>
      <c r="H15" s="25">
        <f>Details!E89</f>
        <v>16.75</v>
      </c>
      <c r="J15" s="4">
        <f>H15/(Input!$F$16/100)</f>
        <v>1.9799054373522456</v>
      </c>
      <c r="L15" s="9"/>
    </row>
    <row r="16" spans="1:12" x14ac:dyDescent="0.5">
      <c r="B16" s="1" t="s">
        <v>187</v>
      </c>
      <c r="H16" s="25">
        <f>Details!E101</f>
        <v>4.8859999999999992</v>
      </c>
      <c r="J16" s="4">
        <f>H16/(Input!$F$16/100)</f>
        <v>0.57754137115839232</v>
      </c>
      <c r="L16" s="9"/>
    </row>
    <row r="17" spans="1:12" x14ac:dyDescent="0.5">
      <c r="B17" s="1" t="s">
        <v>186</v>
      </c>
      <c r="H17" s="25">
        <f>Details!E118</f>
        <v>87.06</v>
      </c>
      <c r="J17" s="4">
        <f>H17/(Input!$F$16/100)</f>
        <v>10.290780141843971</v>
      </c>
      <c r="L17" s="9"/>
    </row>
    <row r="18" spans="1:12" x14ac:dyDescent="0.5">
      <c r="B18" s="1" t="s">
        <v>188</v>
      </c>
      <c r="H18" s="48">
        <f>Details!E126</f>
        <v>36.162644999999998</v>
      </c>
      <c r="I18" s="14"/>
      <c r="J18" s="44">
        <f>H18/(Input!$F$16/100)</f>
        <v>4.2745443262411342</v>
      </c>
      <c r="L18" s="10"/>
    </row>
    <row r="19" spans="1:12" x14ac:dyDescent="0.5">
      <c r="B19" s="1" t="s">
        <v>189</v>
      </c>
      <c r="H19" s="4">
        <f>ROUND(SUM(H9:H18),2)</f>
        <v>2652.61</v>
      </c>
      <c r="I19" s="4"/>
      <c r="J19" s="4">
        <f>ROUND(SUM(J9:J18),2)</f>
        <v>313.55</v>
      </c>
      <c r="L19" s="9"/>
    </row>
    <row r="20" spans="1:12" x14ac:dyDescent="0.5">
      <c r="B20" s="1" t="s">
        <v>190</v>
      </c>
      <c r="H20" s="48">
        <f>Details!E134</f>
        <v>91.446575342465749</v>
      </c>
      <c r="I20" s="14"/>
      <c r="J20" s="44">
        <f>H20/(Input!$F$16/100)</f>
        <v>10.809287865539686</v>
      </c>
      <c r="L20" s="10"/>
    </row>
    <row r="21" spans="1:12" x14ac:dyDescent="0.5">
      <c r="B21" s="6" t="s">
        <v>81</v>
      </c>
      <c r="C21" s="6"/>
      <c r="D21" s="6"/>
      <c r="E21" s="6"/>
      <c r="H21" s="11">
        <f>ROUND(H19+H20,2)</f>
        <v>2744.06</v>
      </c>
      <c r="I21" s="11"/>
      <c r="J21" s="11">
        <f>J19+J20</f>
        <v>324.35928786553967</v>
      </c>
      <c r="L21" s="12"/>
    </row>
    <row r="22" spans="1:12" x14ac:dyDescent="0.5">
      <c r="A22" s="6" t="s">
        <v>96</v>
      </c>
    </row>
    <row r="23" spans="1:12" x14ac:dyDescent="0.5">
      <c r="B23" s="6" t="s">
        <v>192</v>
      </c>
      <c r="H23" s="11">
        <f>Details!E147</f>
        <v>0</v>
      </c>
      <c r="I23" s="6"/>
      <c r="J23" s="11">
        <f>H23/(Input!$F$16/100)</f>
        <v>0</v>
      </c>
      <c r="L23" s="7"/>
    </row>
    <row r="24" spans="1:12" x14ac:dyDescent="0.5">
      <c r="B24" s="6" t="s">
        <v>82</v>
      </c>
      <c r="C24" s="6"/>
      <c r="D24" s="6"/>
      <c r="E24" s="6"/>
      <c r="F24" s="6"/>
      <c r="G24" s="6"/>
      <c r="H24" s="11">
        <f>SUM(H21+H23)</f>
        <v>2744.06</v>
      </c>
      <c r="I24" s="11"/>
      <c r="J24" s="11">
        <f>SUM(J21+J23)</f>
        <v>324.35928786553967</v>
      </c>
      <c r="L24" s="15"/>
    </row>
    <row r="25" spans="1:12" ht="7.5" customHeight="1" x14ac:dyDescent="0.5">
      <c r="L25" s="5"/>
    </row>
    <row r="26" spans="1:12" x14ac:dyDescent="0.5">
      <c r="A26" s="6" t="s">
        <v>38</v>
      </c>
      <c r="H26" s="11">
        <f>ROUND(Details!E162,2)</f>
        <v>5.18</v>
      </c>
      <c r="I26" s="6"/>
      <c r="J26" s="11">
        <f>H26/(Input!$F$16/100)</f>
        <v>0.61229314420803771</v>
      </c>
      <c r="L26" s="13"/>
    </row>
    <row r="27" spans="1:12" ht="7.5" customHeight="1" x14ac:dyDescent="0.5"/>
    <row r="28" spans="1:12" x14ac:dyDescent="0.5">
      <c r="A28" s="6" t="s">
        <v>83</v>
      </c>
      <c r="C28" s="6"/>
      <c r="D28" s="6"/>
      <c r="E28" s="6"/>
      <c r="F28" s="6"/>
      <c r="G28" s="6"/>
      <c r="H28" s="11">
        <f>ROUND(SUM(H24:H26),2)</f>
        <v>2749.24</v>
      </c>
      <c r="I28" s="11"/>
      <c r="J28" s="11">
        <f>ROUND(SUM(J24:J26),2)</f>
        <v>324.97000000000003</v>
      </c>
      <c r="L28" s="6"/>
    </row>
    <row r="29" spans="1:12" ht="7.5" customHeight="1" x14ac:dyDescent="0.5"/>
    <row r="30" spans="1:12" s="41" customFormat="1" ht="15" customHeight="1" x14ac:dyDescent="0.55000000000000004">
      <c r="A30" s="61"/>
      <c r="B30" s="61"/>
      <c r="C30" s="62"/>
      <c r="D30" s="63" t="s">
        <v>160</v>
      </c>
      <c r="E30" s="63"/>
      <c r="F30" s="62"/>
      <c r="G30" s="61"/>
      <c r="H30" s="62"/>
      <c r="I30" s="64"/>
      <c r="J30" s="62"/>
      <c r="K30" s="62"/>
      <c r="L30" s="65"/>
    </row>
    <row r="31" spans="1:12" s="41" customFormat="1" ht="7.5" customHeight="1" x14ac:dyDescent="0.55000000000000004">
      <c r="C31" s="2"/>
      <c r="D31" s="36"/>
      <c r="E31" s="36"/>
      <c r="F31" s="2"/>
      <c r="H31" s="2"/>
      <c r="I31" s="67"/>
      <c r="J31" s="2"/>
      <c r="K31" s="2"/>
    </row>
    <row r="32" spans="1:12" s="2" customFormat="1" ht="15" customHeight="1" x14ac:dyDescent="0.5">
      <c r="A32" s="36" t="s">
        <v>176</v>
      </c>
      <c r="D32" s="36"/>
      <c r="E32" s="36"/>
      <c r="H32" s="125" t="s">
        <v>178</v>
      </c>
      <c r="I32" s="67"/>
    </row>
    <row r="33" spans="1:12" s="2" customFormat="1" ht="15" customHeight="1" x14ac:dyDescent="0.5">
      <c r="B33" s="2" t="str">
        <f>"Gross Revenue @ $"&amp;Input!F17&amp;"/cwt market price"</f>
        <v>Gross Revenue @ $320/cwt market price</v>
      </c>
      <c r="D33" s="36"/>
      <c r="E33" s="36"/>
      <c r="H33" s="39">
        <f>SUM(Input!F17*(Input!F16/100))</f>
        <v>2707.2000000000003</v>
      </c>
      <c r="I33" s="67"/>
    </row>
    <row r="34" spans="1:12" s="2" customFormat="1" ht="7.5" customHeight="1" x14ac:dyDescent="0.5">
      <c r="A34" s="7"/>
      <c r="B34" s="115"/>
      <c r="C34" s="7"/>
      <c r="D34" s="115"/>
      <c r="E34" s="115"/>
      <c r="F34" s="7"/>
      <c r="G34" s="7"/>
      <c r="H34" s="116"/>
      <c r="I34" s="117"/>
      <c r="J34" s="7"/>
      <c r="K34" s="7"/>
      <c r="L34" s="7"/>
    </row>
    <row r="35" spans="1:12" s="120" customFormat="1" ht="15" customHeight="1" x14ac:dyDescent="0.4">
      <c r="B35" s="121"/>
      <c r="D35" s="121"/>
      <c r="E35" s="121"/>
      <c r="H35" s="122" t="s">
        <v>193</v>
      </c>
      <c r="I35" s="123"/>
      <c r="J35" s="121" t="s">
        <v>194</v>
      </c>
    </row>
    <row r="36" spans="1:12" s="120" customFormat="1" ht="15" customHeight="1" x14ac:dyDescent="0.4">
      <c r="B36" s="121"/>
      <c r="D36" s="121"/>
      <c r="E36" s="121"/>
      <c r="H36" s="122" t="s">
        <v>195</v>
      </c>
      <c r="I36" s="123"/>
      <c r="J36" s="122" t="s">
        <v>195</v>
      </c>
    </row>
    <row r="37" spans="1:12" s="120" customFormat="1" ht="15" customHeight="1" x14ac:dyDescent="0.4">
      <c r="B37" s="121"/>
      <c r="D37" s="121"/>
      <c r="E37" s="121"/>
      <c r="H37" s="124" t="str">
        <f>"$"&amp;Input!F17&amp;"/cwt market price"</f>
        <v>$320/cwt market price</v>
      </c>
      <c r="I37" s="123"/>
      <c r="J37" s="124" t="str">
        <f>"$"&amp;Input!F13&amp;"/cwt market price"</f>
        <v>$380/cwt market price</v>
      </c>
    </row>
    <row r="38" spans="1:12" s="126" customFormat="1" ht="15" customHeight="1" x14ac:dyDescent="0.5">
      <c r="B38" s="126" t="s">
        <v>196</v>
      </c>
      <c r="H38" s="147">
        <f>Details!E208*100</f>
        <v>375.90666666666664</v>
      </c>
      <c r="I38" s="127"/>
      <c r="J38" s="147">
        <f>Details!E188*100</f>
        <v>324.35697399527186</v>
      </c>
      <c r="L38" s="13"/>
    </row>
    <row r="39" spans="1:12" s="126" customFormat="1" ht="15" customHeight="1" x14ac:dyDescent="0.5">
      <c r="B39" s="126" t="s">
        <v>197</v>
      </c>
      <c r="H39" s="147">
        <f>Details!E215*100</f>
        <v>375.04333333333335</v>
      </c>
      <c r="I39" s="127"/>
      <c r="J39" s="147">
        <f>Details!E192*100</f>
        <v>324.96926713947988</v>
      </c>
      <c r="L39" s="13"/>
    </row>
    <row r="40" spans="1:12" s="126" customFormat="1" ht="15" customHeight="1" x14ac:dyDescent="0.5">
      <c r="B40" s="126" t="s">
        <v>198</v>
      </c>
      <c r="H40" s="147">
        <f>Details!E222*100</f>
        <v>375.90666666666664</v>
      </c>
      <c r="I40" s="127"/>
      <c r="J40" s="147">
        <f>Details!E196*100</f>
        <v>324.35697399527186</v>
      </c>
      <c r="L40" s="13"/>
    </row>
    <row r="41" spans="1:12" s="2" customFormat="1" ht="15" customHeight="1" x14ac:dyDescent="0.5">
      <c r="B41" s="2" t="s">
        <v>39</v>
      </c>
      <c r="H41" s="147">
        <f>Details!E229*100</f>
        <v>375.04333333333335</v>
      </c>
      <c r="I41" s="128"/>
      <c r="J41" s="147">
        <f>Details!E200*100</f>
        <v>324.96926713947988</v>
      </c>
      <c r="L41" s="13"/>
    </row>
    <row r="42" spans="1:12" s="2" customFormat="1" ht="7.5" customHeight="1" x14ac:dyDescent="0.5">
      <c r="H42" s="25"/>
      <c r="I42" s="128"/>
    </row>
    <row r="43" spans="1:12" s="118" customFormat="1" ht="15" customHeight="1" x14ac:dyDescent="0.4">
      <c r="H43" s="122" t="s">
        <v>220</v>
      </c>
      <c r="I43" s="119"/>
      <c r="J43" s="121" t="s">
        <v>222</v>
      </c>
    </row>
    <row r="44" spans="1:12" s="118" customFormat="1" ht="15" customHeight="1" x14ac:dyDescent="0.4">
      <c r="H44" s="124" t="s">
        <v>221</v>
      </c>
      <c r="I44" s="119"/>
      <c r="J44" s="148" t="str">
        <f>"@ $"&amp;Input!F17&amp;"/cwt market price"</f>
        <v>@ $320/cwt market price</v>
      </c>
    </row>
    <row r="45" spans="1:12" s="2" customFormat="1" ht="15" customHeight="1" x14ac:dyDescent="0.5">
      <c r="B45" s="126" t="s">
        <v>196</v>
      </c>
      <c r="H45" s="25">
        <f>Details!E169*100</f>
        <v>183.64227642276413</v>
      </c>
      <c r="I45" s="128"/>
      <c r="J45" s="156">
        <f>SUM(H33-H21)</f>
        <v>-36.859999999999673</v>
      </c>
      <c r="L45" s="13"/>
    </row>
    <row r="46" spans="1:12" s="2" customFormat="1" ht="15" customHeight="1" x14ac:dyDescent="0.5">
      <c r="B46" s="126" t="s">
        <v>197</v>
      </c>
      <c r="H46" s="25">
        <f>Details!E174*100</f>
        <v>185.74796747967463</v>
      </c>
      <c r="I46" s="128"/>
      <c r="J46" s="156">
        <f>SUM(H33-(H21+H26))</f>
        <v>-42.039999999999509</v>
      </c>
      <c r="L46" s="13"/>
    </row>
    <row r="47" spans="1:12" s="2" customFormat="1" ht="15" customHeight="1" x14ac:dyDescent="0.5">
      <c r="B47" s="126" t="s">
        <v>198</v>
      </c>
      <c r="H47" s="25">
        <f>Details!E179*100</f>
        <v>183.64227642276413</v>
      </c>
      <c r="I47" s="128"/>
      <c r="J47" s="156">
        <f>SUM(H33-(H24))</f>
        <v>-36.859999999999673</v>
      </c>
      <c r="L47" s="13"/>
    </row>
    <row r="48" spans="1:12" s="2" customFormat="1" ht="15" customHeight="1" x14ac:dyDescent="0.5">
      <c r="B48" s="2" t="s">
        <v>39</v>
      </c>
      <c r="H48" s="25">
        <f>Details!E184*100</f>
        <v>185.74796747967463</v>
      </c>
      <c r="I48" s="128"/>
      <c r="J48" s="156">
        <f>SUM(H33-H28)</f>
        <v>-42.039999999999509</v>
      </c>
      <c r="L48" s="13"/>
    </row>
    <row r="49" spans="1:17" s="2" customFormat="1" ht="7.5" customHeight="1" x14ac:dyDescent="0.5">
      <c r="H49" s="25"/>
      <c r="I49" s="128"/>
    </row>
    <row r="50" spans="1:17" ht="15" customHeight="1" x14ac:dyDescent="0.5">
      <c r="A50" s="187" t="s">
        <v>161</v>
      </c>
      <c r="B50" s="187"/>
      <c r="C50" s="187"/>
      <c r="D50" s="187"/>
      <c r="E50" s="187"/>
      <c r="F50" s="187"/>
      <c r="G50" s="187"/>
      <c r="H50" s="187"/>
      <c r="I50" s="187"/>
      <c r="J50" s="187"/>
      <c r="K50" s="187"/>
      <c r="L50" s="187"/>
      <c r="M50" s="33"/>
      <c r="N50" s="33"/>
      <c r="O50" s="33"/>
      <c r="P50" s="33"/>
      <c r="Q50" s="33"/>
    </row>
    <row r="51" spans="1:17" x14ac:dyDescent="0.5">
      <c r="A51" s="187"/>
      <c r="B51" s="187"/>
      <c r="C51" s="187"/>
      <c r="D51" s="187"/>
      <c r="E51" s="187"/>
      <c r="F51" s="187"/>
      <c r="G51" s="187"/>
      <c r="H51" s="187"/>
      <c r="I51" s="187"/>
      <c r="J51" s="187"/>
      <c r="K51" s="187"/>
      <c r="L51" s="187"/>
      <c r="M51" s="33"/>
      <c r="N51" s="33"/>
      <c r="O51" s="33"/>
      <c r="P51" s="33"/>
      <c r="Q51" s="33"/>
    </row>
    <row r="52" spans="1:17" x14ac:dyDescent="0.5">
      <c r="A52" s="187"/>
      <c r="B52" s="187"/>
      <c r="C52" s="187"/>
      <c r="D52" s="187"/>
      <c r="E52" s="187"/>
      <c r="F52" s="187"/>
      <c r="G52" s="187"/>
      <c r="H52" s="187"/>
      <c r="I52" s="187"/>
      <c r="J52" s="187"/>
      <c r="K52" s="187"/>
      <c r="L52" s="187"/>
    </row>
    <row r="80" spans="8:8" x14ac:dyDescent="0.5">
      <c r="H80" s="4"/>
    </row>
    <row r="88" spans="8:8" x14ac:dyDescent="0.5">
      <c r="H88" s="4"/>
    </row>
    <row r="90" spans="8:8" x14ac:dyDescent="0.5">
      <c r="H90" s="8"/>
    </row>
    <row r="92" spans="8:8" x14ac:dyDescent="0.5">
      <c r="H92" s="4"/>
    </row>
    <row r="94" spans="8:8" x14ac:dyDescent="0.5">
      <c r="H94" s="4"/>
    </row>
    <row r="116" spans="8:8" x14ac:dyDescent="0.5">
      <c r="H116" s="4"/>
    </row>
    <row r="117" spans="8:8" x14ac:dyDescent="0.5">
      <c r="H117" s="4"/>
    </row>
  </sheetData>
  <sheetProtection password="C6A6" sheet="1"/>
  <mergeCells count="2">
    <mergeCell ref="B1:L1"/>
    <mergeCell ref="A50:L52"/>
  </mergeCells>
  <phoneticPr fontId="12" type="noConversion"/>
  <pageMargins left="0.74803149606299213" right="0.74803149606299213" top="0.98425196850393704" bottom="0.98425196850393704" header="0.51181102362204722" footer="0.51181102362204722"/>
  <pageSetup scale="85" firstPageNumber="2" orientation="portrait" useFirstPageNumber="1" r:id="rId1"/>
  <headerFooter scaleWithDoc="0">
    <oddHeader>&amp;LGuidelines: Beef Grassing Production Costs&amp;R&amp;P</oddHeader>
  </headerFooter>
  <ignoredErrors>
    <ignoredError sqref="H19" emptyCellReference="1"/>
    <ignoredError sqref="J19" formula="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AJ61"/>
  <sheetViews>
    <sheetView showGridLines="0" zoomScaleNormal="100" workbookViewId="0"/>
  </sheetViews>
  <sheetFormatPr defaultColWidth="10.21875" defaultRowHeight="17.399999999999999" x14ac:dyDescent="0.55000000000000004"/>
  <cols>
    <col min="1" max="1" width="2.109375" style="69" customWidth="1"/>
    <col min="2" max="2" width="36.6640625" style="69" customWidth="1"/>
    <col min="3" max="4" width="12" style="69" customWidth="1"/>
    <col min="5" max="10" width="10.21875" style="69" customWidth="1"/>
    <col min="11" max="11" width="10.6640625" style="69" customWidth="1"/>
    <col min="12" max="21" width="10.21875" style="69" customWidth="1"/>
    <col min="22" max="22" width="10.21875" style="69"/>
    <col min="23" max="16384" width="10.21875" style="68"/>
  </cols>
  <sheetData>
    <row r="1" spans="1:27" ht="17.7" x14ac:dyDescent="0.6">
      <c r="A1" s="106"/>
      <c r="B1" s="188" t="s">
        <v>177</v>
      </c>
      <c r="C1" s="188"/>
      <c r="D1" s="188"/>
      <c r="E1" s="188"/>
      <c r="F1" s="188"/>
      <c r="G1" s="188"/>
      <c r="H1" s="188"/>
      <c r="I1" s="188"/>
      <c r="J1" s="188"/>
      <c r="K1" s="188"/>
      <c r="L1" s="70"/>
      <c r="M1" s="70"/>
      <c r="N1" s="70"/>
      <c r="O1" s="70"/>
      <c r="P1" s="70"/>
      <c r="Q1" s="70"/>
      <c r="R1" s="70"/>
      <c r="S1" s="70"/>
      <c r="T1" s="70"/>
      <c r="U1" s="70"/>
      <c r="V1" s="70"/>
      <c r="W1" s="71"/>
      <c r="X1" s="71"/>
      <c r="Y1" s="71"/>
      <c r="Z1" s="71"/>
      <c r="AA1" s="71"/>
    </row>
    <row r="2" spans="1:27" s="105" customFormat="1" ht="14.1" x14ac:dyDescent="0.5">
      <c r="C2" s="102"/>
      <c r="D2" s="102"/>
      <c r="E2" s="103"/>
      <c r="F2" s="102"/>
      <c r="G2" s="102"/>
      <c r="H2" s="102"/>
      <c r="I2" s="102"/>
      <c r="J2" s="103"/>
      <c r="L2" s="102"/>
      <c r="M2" s="103"/>
      <c r="N2" s="189"/>
      <c r="O2" s="189"/>
      <c r="P2" s="101"/>
      <c r="R2" s="102"/>
      <c r="S2" s="102"/>
      <c r="T2" s="102"/>
      <c r="U2" s="102"/>
    </row>
    <row r="3" spans="1:27" s="101" customFormat="1" ht="14.1" x14ac:dyDescent="0.5">
      <c r="C3" s="104" t="s">
        <v>178</v>
      </c>
      <c r="D3" s="102"/>
      <c r="E3" s="102"/>
      <c r="F3" s="102"/>
      <c r="G3" s="102"/>
      <c r="H3" s="102"/>
      <c r="I3" s="102"/>
      <c r="J3" s="102"/>
      <c r="K3" s="102"/>
      <c r="L3" s="102"/>
      <c r="M3" s="102"/>
      <c r="N3" s="102"/>
      <c r="O3" s="102"/>
      <c r="P3" s="102"/>
      <c r="Q3" s="103"/>
      <c r="R3" s="102"/>
      <c r="S3" s="102"/>
      <c r="T3" s="102"/>
      <c r="U3" s="102"/>
    </row>
    <row r="4" spans="1:27" x14ac:dyDescent="0.55000000000000004">
      <c r="A4" s="100" t="s">
        <v>228</v>
      </c>
      <c r="C4" s="77">
        <f>Summary!H21</f>
        <v>2744.06</v>
      </c>
      <c r="D4" s="77"/>
      <c r="E4" s="77"/>
      <c r="F4" s="77"/>
      <c r="G4" s="77"/>
      <c r="H4" s="77"/>
      <c r="I4" s="77"/>
      <c r="J4" s="77"/>
      <c r="K4" s="77"/>
      <c r="L4" s="77"/>
      <c r="M4" s="77"/>
      <c r="N4" s="77"/>
      <c r="O4" s="77"/>
      <c r="P4" s="77"/>
      <c r="Q4" s="77"/>
      <c r="R4" s="77"/>
      <c r="S4" s="77"/>
      <c r="T4" s="77"/>
      <c r="U4" s="77"/>
    </row>
    <row r="5" spans="1:27" x14ac:dyDescent="0.55000000000000004">
      <c r="A5" s="71" t="s">
        <v>229</v>
      </c>
      <c r="C5" s="77">
        <f>Summary!H23</f>
        <v>0</v>
      </c>
      <c r="D5" s="77"/>
      <c r="E5" s="77"/>
      <c r="F5" s="77"/>
      <c r="G5" s="77"/>
      <c r="H5" s="77"/>
      <c r="I5" s="77"/>
      <c r="J5" s="77"/>
      <c r="K5" s="77"/>
      <c r="L5" s="77"/>
      <c r="M5" s="77"/>
      <c r="N5" s="77"/>
      <c r="O5" s="77"/>
      <c r="P5" s="77"/>
      <c r="Q5" s="77"/>
      <c r="R5" s="77"/>
      <c r="S5" s="77"/>
      <c r="T5" s="77"/>
      <c r="U5" s="77"/>
    </row>
    <row r="6" spans="1:27" x14ac:dyDescent="0.55000000000000004">
      <c r="A6" s="71" t="s">
        <v>230</v>
      </c>
      <c r="C6" s="77">
        <f>Summary!H26</f>
        <v>5.18</v>
      </c>
      <c r="D6" s="77"/>
      <c r="E6" s="77"/>
      <c r="F6" s="77"/>
      <c r="G6" s="77"/>
      <c r="H6" s="77"/>
      <c r="I6" s="77"/>
      <c r="J6" s="77"/>
      <c r="K6" s="77"/>
      <c r="L6" s="77"/>
      <c r="M6" s="77"/>
      <c r="N6" s="77"/>
      <c r="O6" s="77"/>
      <c r="P6" s="77"/>
      <c r="Q6" s="77"/>
      <c r="R6" s="77"/>
      <c r="S6" s="77"/>
      <c r="T6" s="77"/>
      <c r="U6" s="77"/>
    </row>
    <row r="7" spans="1:27" x14ac:dyDescent="0.55000000000000004">
      <c r="A7" s="71" t="s">
        <v>39</v>
      </c>
      <c r="C7" s="77">
        <f>Summary!H28</f>
        <v>2749.24</v>
      </c>
      <c r="D7" s="77"/>
      <c r="E7" s="77"/>
      <c r="F7" s="77"/>
      <c r="G7" s="77"/>
      <c r="H7" s="77"/>
      <c r="I7" s="77"/>
      <c r="J7" s="77"/>
      <c r="K7" s="77"/>
      <c r="L7" s="77"/>
      <c r="M7" s="77"/>
      <c r="N7" s="77"/>
      <c r="O7" s="77"/>
      <c r="P7" s="77"/>
      <c r="Q7" s="77"/>
      <c r="R7" s="77"/>
      <c r="S7" s="77"/>
      <c r="T7" s="77"/>
      <c r="U7" s="77"/>
    </row>
    <row r="8" spans="1:27" x14ac:dyDescent="0.55000000000000004">
      <c r="A8" s="71"/>
      <c r="C8" s="77"/>
      <c r="D8" s="77"/>
      <c r="E8" s="77"/>
      <c r="F8" s="77"/>
      <c r="G8" s="77"/>
      <c r="H8" s="77"/>
      <c r="I8" s="77"/>
      <c r="J8" s="77"/>
      <c r="K8" s="77"/>
      <c r="L8" s="77"/>
      <c r="M8" s="77"/>
      <c r="N8" s="77"/>
      <c r="O8" s="77"/>
      <c r="P8" s="77"/>
      <c r="Q8" s="77"/>
      <c r="R8" s="77"/>
      <c r="S8" s="77"/>
      <c r="T8" s="77"/>
      <c r="U8" s="77"/>
    </row>
    <row r="9" spans="1:27" x14ac:dyDescent="0.55000000000000004">
      <c r="A9" s="99" t="s">
        <v>176</v>
      </c>
      <c r="B9" s="97"/>
      <c r="C9" s="68"/>
      <c r="D9" s="71"/>
      <c r="E9" s="71"/>
      <c r="F9" s="71"/>
      <c r="G9" s="71"/>
      <c r="H9" s="71"/>
      <c r="I9" s="68"/>
      <c r="J9" s="71"/>
      <c r="K9" s="71"/>
      <c r="L9" s="71"/>
      <c r="M9" s="71"/>
      <c r="N9" s="71"/>
      <c r="O9" s="71"/>
      <c r="P9" s="71"/>
      <c r="Q9" s="71"/>
      <c r="R9" s="71"/>
      <c r="S9" s="71"/>
      <c r="T9" s="71"/>
      <c r="U9" s="71"/>
      <c r="V9" s="71"/>
      <c r="W9" s="71"/>
      <c r="X9" s="71"/>
      <c r="Y9" s="71"/>
      <c r="Z9" s="71"/>
      <c r="AA9" s="71"/>
    </row>
    <row r="10" spans="1:27" x14ac:dyDescent="0.55000000000000004">
      <c r="A10" s="97"/>
      <c r="B10" s="76" t="s">
        <v>175</v>
      </c>
      <c r="C10" s="77">
        <f>Input!F17</f>
        <v>320</v>
      </c>
      <c r="D10" s="98"/>
      <c r="E10" s="98"/>
      <c r="F10" s="98"/>
      <c r="G10" s="98"/>
      <c r="H10" s="98"/>
      <c r="I10" s="98"/>
      <c r="J10" s="98"/>
      <c r="K10" s="98"/>
      <c r="L10" s="98"/>
      <c r="M10" s="98"/>
      <c r="N10" s="98"/>
      <c r="O10" s="98"/>
      <c r="P10" s="98"/>
      <c r="Q10" s="98"/>
      <c r="R10" s="98"/>
      <c r="S10" s="98"/>
      <c r="T10" s="98"/>
      <c r="U10" s="98"/>
    </row>
    <row r="11" spans="1:27" x14ac:dyDescent="0.55000000000000004">
      <c r="A11" s="97"/>
      <c r="B11" s="76" t="s">
        <v>223</v>
      </c>
      <c r="C11" s="96">
        <f>Input!F16</f>
        <v>846</v>
      </c>
      <c r="D11" s="95"/>
      <c r="E11" s="95"/>
      <c r="F11" s="95"/>
      <c r="G11" s="95"/>
      <c r="H11" s="95"/>
      <c r="I11" s="95"/>
      <c r="J11" s="95"/>
      <c r="K11" s="95"/>
      <c r="L11" s="95"/>
      <c r="M11" s="95"/>
      <c r="N11" s="95"/>
      <c r="O11" s="95"/>
      <c r="P11" s="95"/>
      <c r="Q11" s="95"/>
      <c r="R11" s="95"/>
      <c r="S11" s="95"/>
      <c r="T11" s="95"/>
      <c r="U11" s="95"/>
    </row>
    <row r="12" spans="1:27" ht="9" customHeight="1" x14ac:dyDescent="0.55000000000000004">
      <c r="A12" s="97"/>
      <c r="B12" s="76"/>
      <c r="C12" s="96"/>
      <c r="D12" s="95"/>
      <c r="E12" s="95"/>
      <c r="F12" s="95"/>
      <c r="G12" s="95"/>
      <c r="H12" s="95"/>
      <c r="I12" s="95"/>
      <c r="J12" s="95"/>
      <c r="K12" s="95"/>
      <c r="L12" s="95"/>
      <c r="M12" s="95"/>
      <c r="N12" s="95"/>
      <c r="O12" s="95"/>
      <c r="P12" s="95"/>
      <c r="Q12" s="95"/>
      <c r="R12" s="95"/>
      <c r="S12" s="95"/>
      <c r="T12" s="95"/>
      <c r="U12" s="95"/>
    </row>
    <row r="13" spans="1:27" ht="9" customHeight="1" x14ac:dyDescent="0.55000000000000004">
      <c r="A13" s="85"/>
      <c r="B13" s="85"/>
      <c r="C13" s="94"/>
      <c r="D13" s="94"/>
      <c r="E13" s="94"/>
      <c r="F13" s="94"/>
      <c r="G13" s="94"/>
      <c r="H13" s="94"/>
      <c r="I13" s="94"/>
      <c r="J13" s="94"/>
      <c r="K13" s="94"/>
      <c r="L13" s="83"/>
      <c r="M13" s="83"/>
      <c r="N13" s="83"/>
      <c r="O13" s="83"/>
      <c r="P13" s="83"/>
      <c r="Q13" s="83"/>
      <c r="R13" s="83"/>
      <c r="S13" s="83"/>
      <c r="T13" s="83"/>
      <c r="U13" s="83"/>
    </row>
    <row r="14" spans="1:27" x14ac:dyDescent="0.55000000000000004">
      <c r="A14" s="88"/>
      <c r="B14" s="85"/>
      <c r="C14" s="88"/>
      <c r="D14" s="93" t="s">
        <v>174</v>
      </c>
      <c r="E14" s="93" t="s">
        <v>173</v>
      </c>
      <c r="F14" s="85"/>
      <c r="G14" s="88"/>
      <c r="H14" s="85"/>
      <c r="I14" s="92"/>
      <c r="J14" s="92"/>
      <c r="K14" s="85"/>
      <c r="Q14" s="91"/>
      <c r="R14" s="91"/>
      <c r="U14" s="91"/>
      <c r="V14" s="91"/>
    </row>
    <row r="15" spans="1:27" ht="17.7" x14ac:dyDescent="0.6">
      <c r="A15" s="85"/>
      <c r="B15" s="88"/>
      <c r="C15" s="87" t="s">
        <v>172</v>
      </c>
      <c r="D15" s="90">
        <v>0.05</v>
      </c>
      <c r="E15" s="90">
        <v>0.05</v>
      </c>
      <c r="F15" s="89"/>
      <c r="G15" s="88"/>
      <c r="H15" s="88"/>
      <c r="I15" s="86"/>
      <c r="J15" s="86"/>
      <c r="K15" s="85"/>
      <c r="Q15" s="84"/>
      <c r="R15" s="84"/>
      <c r="S15" s="68"/>
      <c r="T15" s="71"/>
      <c r="U15" s="84"/>
      <c r="V15" s="84"/>
    </row>
    <row r="16" spans="1:27" ht="17.7" x14ac:dyDescent="0.6">
      <c r="A16" s="85"/>
      <c r="B16" s="88"/>
      <c r="C16" s="87" t="s">
        <v>224</v>
      </c>
      <c r="D16" s="90">
        <v>0.02</v>
      </c>
      <c r="E16" s="90">
        <v>0.02</v>
      </c>
      <c r="F16" s="89"/>
      <c r="G16" s="88"/>
      <c r="H16" s="87"/>
      <c r="I16" s="86"/>
      <c r="J16" s="86"/>
      <c r="K16" s="85"/>
      <c r="Q16" s="84"/>
      <c r="R16" s="84"/>
      <c r="S16" s="68"/>
      <c r="T16" s="71"/>
      <c r="U16" s="84"/>
      <c r="V16" s="84"/>
    </row>
    <row r="17" spans="1:27" ht="9" customHeight="1" x14ac:dyDescent="0.6">
      <c r="A17" s="85"/>
      <c r="B17" s="87"/>
      <c r="C17" s="86"/>
      <c r="D17" s="86"/>
      <c r="E17" s="88"/>
      <c r="F17" s="89"/>
      <c r="G17" s="88"/>
      <c r="H17" s="87"/>
      <c r="I17" s="86"/>
      <c r="J17" s="86"/>
      <c r="K17" s="85"/>
      <c r="Q17" s="84"/>
      <c r="R17" s="84"/>
      <c r="S17" s="68"/>
      <c r="T17" s="71"/>
      <c r="U17" s="84"/>
      <c r="V17" s="84"/>
    </row>
    <row r="18" spans="1:27" ht="9" customHeight="1" x14ac:dyDescent="0.55000000000000004">
      <c r="C18" s="83"/>
      <c r="D18" s="83"/>
      <c r="E18" s="83"/>
      <c r="F18" s="83"/>
      <c r="G18" s="83"/>
      <c r="H18" s="83"/>
      <c r="I18" s="83"/>
      <c r="J18" s="83"/>
      <c r="K18" s="83"/>
      <c r="L18" s="83"/>
      <c r="M18" s="83"/>
      <c r="N18" s="83"/>
      <c r="O18" s="83"/>
      <c r="P18" s="83"/>
      <c r="Q18" s="83"/>
      <c r="R18" s="83"/>
      <c r="S18" s="83"/>
      <c r="T18" s="83"/>
      <c r="U18" s="83"/>
    </row>
    <row r="19" spans="1:27" s="70" customFormat="1" ht="18" customHeight="1" x14ac:dyDescent="0.6">
      <c r="A19" s="71"/>
      <c r="B19" s="82" t="s">
        <v>171</v>
      </c>
      <c r="C19" s="77">
        <f>SUM(C10*(1+D15))</f>
        <v>336</v>
      </c>
      <c r="D19" s="77"/>
      <c r="E19" s="77"/>
      <c r="F19" s="77"/>
      <c r="G19" s="77"/>
      <c r="H19" s="77"/>
      <c r="I19" s="77"/>
      <c r="J19" s="77"/>
      <c r="K19" s="77"/>
      <c r="L19" s="77"/>
      <c r="M19" s="77"/>
      <c r="N19" s="77"/>
      <c r="O19" s="77"/>
      <c r="P19" s="77"/>
      <c r="Q19" s="77"/>
      <c r="R19" s="77"/>
      <c r="S19" s="77"/>
      <c r="T19" s="77"/>
      <c r="U19" s="77"/>
      <c r="V19" s="71"/>
    </row>
    <row r="20" spans="1:27" s="70" customFormat="1" ht="18" customHeight="1" x14ac:dyDescent="0.6">
      <c r="A20" s="71"/>
      <c r="B20" s="82" t="s">
        <v>170</v>
      </c>
      <c r="C20" s="77">
        <f>SUM(C10*(1-E15))</f>
        <v>304</v>
      </c>
      <c r="D20" s="77"/>
      <c r="E20" s="77"/>
      <c r="F20" s="77"/>
      <c r="G20" s="77"/>
      <c r="H20" s="77"/>
      <c r="I20" s="77"/>
      <c r="J20" s="77"/>
      <c r="K20" s="77"/>
      <c r="L20" s="77"/>
      <c r="M20" s="77"/>
      <c r="N20" s="77"/>
      <c r="O20" s="77"/>
      <c r="P20" s="77"/>
      <c r="Q20" s="77"/>
      <c r="R20" s="77"/>
      <c r="S20" s="77"/>
      <c r="T20" s="77"/>
      <c r="U20" s="77"/>
      <c r="V20" s="71"/>
    </row>
    <row r="21" spans="1:27" s="70" customFormat="1" ht="18" customHeight="1" x14ac:dyDescent="0.6">
      <c r="A21" s="71"/>
      <c r="B21" s="82" t="s">
        <v>225</v>
      </c>
      <c r="C21" s="81">
        <f>SUM(C11*(1+D16))</f>
        <v>862.92</v>
      </c>
      <c r="D21" s="81"/>
      <c r="E21" s="81"/>
      <c r="F21" s="81"/>
      <c r="G21" s="81"/>
      <c r="H21" s="81"/>
      <c r="I21" s="81"/>
      <c r="J21" s="81"/>
      <c r="K21" s="81"/>
      <c r="L21" s="81"/>
      <c r="M21" s="81"/>
      <c r="N21" s="81"/>
      <c r="O21" s="81"/>
      <c r="P21" s="81"/>
      <c r="Q21" s="81"/>
      <c r="R21" s="81"/>
      <c r="S21" s="81"/>
      <c r="T21" s="81"/>
      <c r="U21" s="81"/>
      <c r="V21" s="71"/>
    </row>
    <row r="22" spans="1:27" s="70" customFormat="1" ht="18" customHeight="1" x14ac:dyDescent="0.6">
      <c r="A22" s="71"/>
      <c r="B22" s="82" t="s">
        <v>226</v>
      </c>
      <c r="C22" s="81">
        <f>SUM(C11*(1-E16))</f>
        <v>829.08</v>
      </c>
      <c r="D22" s="81"/>
      <c r="E22" s="81"/>
      <c r="F22" s="81"/>
      <c r="G22" s="81"/>
      <c r="H22" s="81"/>
      <c r="I22" s="81"/>
      <c r="J22" s="81"/>
      <c r="K22" s="81"/>
      <c r="L22" s="81"/>
      <c r="M22" s="81"/>
      <c r="N22" s="81"/>
      <c r="O22" s="81"/>
      <c r="P22" s="81"/>
      <c r="Q22" s="81"/>
      <c r="R22" s="81"/>
      <c r="S22" s="81"/>
      <c r="T22" s="81"/>
      <c r="U22" s="81"/>
      <c r="V22" s="71"/>
    </row>
    <row r="23" spans="1:27" s="70" customFormat="1" ht="18" customHeight="1" x14ac:dyDescent="0.6">
      <c r="A23" s="71"/>
      <c r="B23" s="82"/>
      <c r="C23" s="81"/>
      <c r="D23" s="81"/>
      <c r="E23" s="81"/>
      <c r="F23" s="81"/>
      <c r="G23" s="81"/>
      <c r="H23" s="81"/>
      <c r="I23" s="81"/>
      <c r="J23" s="81"/>
      <c r="K23" s="81"/>
      <c r="L23" s="81"/>
      <c r="M23" s="81"/>
      <c r="N23" s="81"/>
      <c r="O23" s="81"/>
      <c r="P23" s="81"/>
      <c r="Q23" s="81"/>
      <c r="R23" s="81"/>
      <c r="S23" s="81"/>
      <c r="T23" s="81"/>
      <c r="U23" s="81"/>
      <c r="V23" s="71"/>
    </row>
    <row r="24" spans="1:27" ht="18" customHeight="1" x14ac:dyDescent="0.55000000000000004"/>
    <row r="25" spans="1:27" s="70" customFormat="1" ht="17.7" x14ac:dyDescent="0.6">
      <c r="A25" s="79" t="str">
        <f>"Higher Margin Scenario - Price Up "&amp;D15*100&amp;"% and Grasser Weight Up "&amp;D16*100&amp;"%"</f>
        <v>Higher Margin Scenario - Price Up 5% and Grasser Weight Up 2%</v>
      </c>
      <c r="B25" s="71"/>
      <c r="C25" s="78"/>
      <c r="D25" s="71"/>
      <c r="E25" s="71"/>
      <c r="F25" s="71"/>
      <c r="G25" s="71"/>
      <c r="H25" s="71"/>
      <c r="I25" s="71"/>
      <c r="J25" s="71"/>
      <c r="K25" s="71"/>
      <c r="L25" s="71"/>
      <c r="M25" s="71"/>
      <c r="N25" s="71"/>
      <c r="O25" s="71"/>
      <c r="P25" s="71"/>
      <c r="Q25" s="71"/>
      <c r="R25" s="71"/>
      <c r="S25" s="71"/>
      <c r="T25" s="71"/>
      <c r="U25" s="71"/>
      <c r="V25" s="71"/>
      <c r="W25" s="71"/>
      <c r="X25" s="71"/>
      <c r="Y25" s="71"/>
      <c r="Z25" s="71"/>
      <c r="AA25" s="71"/>
    </row>
    <row r="26" spans="1:27" x14ac:dyDescent="0.55000000000000004">
      <c r="B26" s="71" t="s">
        <v>227</v>
      </c>
      <c r="C26" s="77">
        <f>SUM((C21/100)*C19)</f>
        <v>2899.4111999999996</v>
      </c>
      <c r="D26" s="77"/>
      <c r="E26" s="77"/>
      <c r="F26" s="77"/>
      <c r="G26" s="77"/>
      <c r="H26" s="77"/>
      <c r="I26" s="77"/>
      <c r="J26" s="77"/>
      <c r="K26" s="77"/>
      <c r="L26" s="77"/>
      <c r="M26" s="77"/>
      <c r="N26" s="77"/>
      <c r="O26" s="77"/>
      <c r="P26" s="77"/>
      <c r="Q26" s="77"/>
      <c r="R26" s="77"/>
      <c r="S26" s="77"/>
      <c r="T26" s="77"/>
      <c r="U26" s="77"/>
    </row>
    <row r="27" spans="1:27" x14ac:dyDescent="0.55000000000000004">
      <c r="A27" s="68"/>
      <c r="B27" s="71" t="s">
        <v>169</v>
      </c>
    </row>
    <row r="28" spans="1:27" x14ac:dyDescent="0.55000000000000004">
      <c r="B28" s="75" t="s">
        <v>168</v>
      </c>
      <c r="C28" s="74">
        <f>SUM(C26-C4)</f>
        <v>155.35119999999961</v>
      </c>
      <c r="D28" s="74"/>
      <c r="E28" s="74"/>
      <c r="F28" s="74"/>
      <c r="G28" s="74"/>
      <c r="H28" s="74"/>
      <c r="I28" s="74"/>
      <c r="J28" s="74"/>
      <c r="K28" s="74"/>
      <c r="L28" s="74"/>
      <c r="M28" s="74"/>
      <c r="N28" s="74"/>
      <c r="O28" s="74"/>
      <c r="P28" s="74"/>
      <c r="Q28" s="74"/>
      <c r="R28" s="74"/>
      <c r="S28" s="74"/>
      <c r="T28" s="74"/>
      <c r="U28" s="74"/>
    </row>
    <row r="29" spans="1:27" x14ac:dyDescent="0.55000000000000004">
      <c r="B29" s="76" t="s">
        <v>167</v>
      </c>
      <c r="C29" s="74">
        <f>SUM(C26-C4-C6)</f>
        <v>150.1711999999996</v>
      </c>
      <c r="D29" s="74"/>
      <c r="E29" s="74"/>
      <c r="F29" s="74"/>
      <c r="G29" s="74"/>
      <c r="H29" s="74"/>
      <c r="I29" s="74"/>
      <c r="J29" s="74"/>
      <c r="K29" s="74"/>
      <c r="L29" s="74"/>
      <c r="M29" s="74"/>
      <c r="N29" s="74"/>
      <c r="O29" s="74"/>
      <c r="P29" s="74"/>
      <c r="Q29" s="74"/>
      <c r="R29" s="74"/>
      <c r="S29" s="74"/>
      <c r="T29" s="74"/>
      <c r="U29" s="74"/>
    </row>
    <row r="30" spans="1:27" x14ac:dyDescent="0.55000000000000004">
      <c r="B30" s="76" t="s">
        <v>166</v>
      </c>
      <c r="C30" s="74">
        <f>SUM(C26-C4-C5)</f>
        <v>155.35119999999961</v>
      </c>
      <c r="D30" s="74"/>
      <c r="E30" s="74"/>
      <c r="F30" s="74"/>
      <c r="G30" s="74"/>
      <c r="H30" s="74"/>
      <c r="I30" s="74"/>
      <c r="J30" s="74"/>
      <c r="K30" s="74"/>
      <c r="L30" s="74"/>
      <c r="M30" s="74"/>
      <c r="N30" s="74"/>
      <c r="O30" s="74"/>
      <c r="P30" s="74"/>
      <c r="Q30" s="74"/>
      <c r="R30" s="74"/>
      <c r="S30" s="74"/>
      <c r="T30" s="74"/>
      <c r="U30" s="74"/>
    </row>
    <row r="31" spans="1:27" x14ac:dyDescent="0.55000000000000004">
      <c r="B31" s="75" t="s">
        <v>165</v>
      </c>
      <c r="C31" s="74">
        <f>SUM(C26-C7)</f>
        <v>150.17119999999977</v>
      </c>
      <c r="D31" s="74"/>
      <c r="E31" s="74"/>
      <c r="F31" s="74"/>
      <c r="G31" s="74"/>
      <c r="H31" s="74"/>
      <c r="I31" s="74"/>
      <c r="J31" s="74"/>
      <c r="K31" s="74"/>
      <c r="L31" s="74"/>
      <c r="M31" s="74"/>
      <c r="N31" s="74"/>
      <c r="O31" s="74"/>
      <c r="P31" s="74"/>
      <c r="Q31" s="74"/>
      <c r="R31" s="74"/>
      <c r="S31" s="74"/>
      <c r="T31" s="74"/>
      <c r="U31" s="74"/>
    </row>
    <row r="32" spans="1:27" x14ac:dyDescent="0.55000000000000004">
      <c r="B32" s="71" t="s">
        <v>164</v>
      </c>
      <c r="C32" s="73">
        <f>SUM(C4/C26)</f>
        <v>0.94641974204969626</v>
      </c>
      <c r="D32" s="73"/>
      <c r="E32" s="73"/>
      <c r="F32" s="73"/>
      <c r="G32" s="73"/>
      <c r="H32" s="73"/>
      <c r="I32" s="73"/>
      <c r="J32" s="73"/>
      <c r="K32" s="73"/>
      <c r="L32" s="73"/>
      <c r="M32" s="73"/>
      <c r="N32" s="73"/>
      <c r="O32" s="73"/>
      <c r="P32" s="73"/>
      <c r="Q32" s="73"/>
      <c r="R32" s="73"/>
      <c r="S32" s="73"/>
      <c r="T32" s="73"/>
      <c r="U32" s="73"/>
    </row>
    <row r="33" spans="1:27" s="70" customFormat="1" ht="17.7" x14ac:dyDescent="0.6">
      <c r="A33" s="71"/>
      <c r="B33" s="71"/>
      <c r="C33" s="80"/>
      <c r="D33" s="80"/>
      <c r="E33" s="80"/>
      <c r="F33" s="80"/>
      <c r="G33" s="80"/>
      <c r="H33" s="80"/>
      <c r="I33" s="80"/>
      <c r="J33" s="80"/>
      <c r="K33" s="80"/>
      <c r="L33" s="80"/>
      <c r="M33" s="80"/>
      <c r="N33" s="80"/>
      <c r="O33" s="80"/>
      <c r="P33" s="80"/>
      <c r="Q33" s="80"/>
      <c r="R33" s="80"/>
      <c r="S33" s="80"/>
      <c r="T33" s="80"/>
      <c r="U33" s="80"/>
      <c r="V33" s="71"/>
    </row>
    <row r="34" spans="1:27" ht="18" customHeight="1" x14ac:dyDescent="0.55000000000000004"/>
    <row r="35" spans="1:27" s="70" customFormat="1" ht="17.7" x14ac:dyDescent="0.6">
      <c r="A35" s="79" t="str">
        <f>"Lower Margin Scenario - Price Down "&amp;E15*100&amp;"% and Grasser Weight Down "&amp;E16*100&amp;"%"</f>
        <v>Lower Margin Scenario - Price Down 5% and Grasser Weight Down 2%</v>
      </c>
      <c r="B35" s="71"/>
      <c r="C35" s="78"/>
      <c r="D35" s="78"/>
      <c r="E35" s="78"/>
      <c r="F35" s="78"/>
      <c r="G35" s="78"/>
      <c r="H35" s="78"/>
      <c r="I35" s="78"/>
      <c r="J35" s="78"/>
      <c r="K35" s="78"/>
      <c r="L35" s="78"/>
      <c r="M35" s="78"/>
      <c r="N35" s="78"/>
      <c r="O35" s="78"/>
      <c r="P35" s="78"/>
      <c r="Q35" s="78"/>
      <c r="R35" s="78"/>
      <c r="S35" s="78"/>
      <c r="T35" s="78"/>
      <c r="U35" s="78"/>
      <c r="V35" s="71"/>
      <c r="W35" s="71"/>
      <c r="X35" s="71"/>
      <c r="Y35" s="71"/>
      <c r="Z35" s="71"/>
      <c r="AA35" s="71"/>
    </row>
    <row r="36" spans="1:27" x14ac:dyDescent="0.55000000000000004">
      <c r="B36" s="71" t="s">
        <v>227</v>
      </c>
      <c r="C36" s="77">
        <f>SUM((C22/100)*C20)</f>
        <v>2520.4032000000002</v>
      </c>
      <c r="D36" s="77"/>
      <c r="E36" s="77"/>
      <c r="F36" s="77"/>
      <c r="G36" s="77"/>
      <c r="H36" s="77"/>
      <c r="I36" s="77"/>
      <c r="J36" s="77"/>
      <c r="K36" s="77"/>
      <c r="L36" s="77"/>
      <c r="M36" s="77"/>
      <c r="N36" s="77"/>
      <c r="O36" s="77"/>
      <c r="P36" s="77"/>
      <c r="Q36" s="77"/>
      <c r="R36" s="77"/>
      <c r="S36" s="77"/>
      <c r="T36" s="77"/>
      <c r="U36" s="77"/>
    </row>
    <row r="37" spans="1:27" x14ac:dyDescent="0.55000000000000004">
      <c r="A37" s="68"/>
      <c r="B37" s="71" t="s">
        <v>169</v>
      </c>
    </row>
    <row r="38" spans="1:27" x14ac:dyDescent="0.55000000000000004">
      <c r="B38" s="75" t="s">
        <v>168</v>
      </c>
      <c r="C38" s="74">
        <f>SUM(C36-C4)</f>
        <v>-223.65679999999975</v>
      </c>
      <c r="D38" s="74"/>
      <c r="E38" s="74"/>
      <c r="F38" s="74"/>
      <c r="G38" s="74"/>
      <c r="H38" s="74"/>
      <c r="I38" s="74"/>
      <c r="J38" s="74"/>
      <c r="K38" s="74"/>
      <c r="L38" s="74"/>
      <c r="M38" s="74"/>
      <c r="N38" s="74"/>
      <c r="O38" s="74"/>
      <c r="P38" s="74"/>
      <c r="Q38" s="74"/>
      <c r="R38" s="74"/>
      <c r="S38" s="74"/>
      <c r="T38" s="74"/>
      <c r="U38" s="74"/>
    </row>
    <row r="39" spans="1:27" x14ac:dyDescent="0.55000000000000004">
      <c r="B39" s="76" t="s">
        <v>167</v>
      </c>
      <c r="C39" s="74">
        <f>SUM(C36-C4-C6)</f>
        <v>-228.83679999999976</v>
      </c>
      <c r="D39" s="74"/>
      <c r="E39" s="74"/>
      <c r="F39" s="74"/>
      <c r="G39" s="74"/>
      <c r="H39" s="74"/>
      <c r="I39" s="74"/>
      <c r="J39" s="74"/>
      <c r="K39" s="74"/>
      <c r="L39" s="74"/>
      <c r="M39" s="74"/>
      <c r="N39" s="74"/>
      <c r="O39" s="74"/>
      <c r="P39" s="74"/>
      <c r="Q39" s="74"/>
      <c r="R39" s="74"/>
      <c r="S39" s="74"/>
      <c r="T39" s="74"/>
      <c r="U39" s="74"/>
    </row>
    <row r="40" spans="1:27" x14ac:dyDescent="0.55000000000000004">
      <c r="B40" s="76" t="s">
        <v>166</v>
      </c>
      <c r="C40" s="74">
        <f>SUM(C36-C4-C5)</f>
        <v>-223.65679999999975</v>
      </c>
      <c r="D40" s="74"/>
      <c r="E40" s="74"/>
      <c r="F40" s="74"/>
      <c r="G40" s="74"/>
      <c r="H40" s="74"/>
      <c r="I40" s="74"/>
      <c r="J40" s="74"/>
      <c r="K40" s="74"/>
      <c r="L40" s="74"/>
      <c r="M40" s="74"/>
      <c r="N40" s="74"/>
      <c r="O40" s="74"/>
      <c r="P40" s="74"/>
      <c r="Q40" s="74"/>
      <c r="R40" s="74"/>
      <c r="S40" s="74"/>
      <c r="T40" s="74"/>
      <c r="U40" s="74"/>
    </row>
    <row r="41" spans="1:27" x14ac:dyDescent="0.55000000000000004">
      <c r="B41" s="75" t="s">
        <v>165</v>
      </c>
      <c r="C41" s="74">
        <f>SUM(C36-C7)</f>
        <v>-228.83679999999958</v>
      </c>
      <c r="D41" s="74"/>
      <c r="E41" s="74"/>
      <c r="F41" s="74"/>
      <c r="G41" s="74"/>
      <c r="H41" s="74"/>
      <c r="I41" s="74"/>
      <c r="J41" s="74"/>
      <c r="K41" s="74"/>
      <c r="L41" s="74"/>
      <c r="M41" s="74"/>
      <c r="N41" s="74"/>
      <c r="O41" s="74"/>
      <c r="P41" s="74"/>
      <c r="Q41" s="74"/>
      <c r="R41" s="74"/>
      <c r="S41" s="74"/>
      <c r="T41" s="74"/>
      <c r="U41" s="74"/>
    </row>
    <row r="42" spans="1:27" x14ac:dyDescent="0.55000000000000004">
      <c r="B42" s="71" t="s">
        <v>164</v>
      </c>
      <c r="C42" s="73">
        <f>SUM(C4/C36)</f>
        <v>1.0887385002526579</v>
      </c>
      <c r="D42" s="73"/>
      <c r="E42" s="73"/>
      <c r="F42" s="73"/>
      <c r="G42" s="73"/>
      <c r="H42" s="73"/>
      <c r="I42" s="73"/>
      <c r="J42" s="73"/>
      <c r="K42" s="73"/>
      <c r="L42" s="73"/>
      <c r="M42" s="73"/>
      <c r="N42" s="73"/>
      <c r="O42" s="73"/>
      <c r="P42" s="73"/>
      <c r="Q42" s="73"/>
      <c r="R42" s="73"/>
      <c r="S42" s="73"/>
      <c r="T42" s="73"/>
      <c r="U42" s="73"/>
    </row>
    <row r="45" spans="1:27" ht="8.25" customHeight="1" x14ac:dyDescent="0.55000000000000004"/>
    <row r="46" spans="1:27" s="70" customFormat="1" ht="18" customHeight="1" x14ac:dyDescent="0.6">
      <c r="A46" s="71"/>
      <c r="B46" s="190" t="s">
        <v>163</v>
      </c>
      <c r="C46" s="190"/>
      <c r="D46" s="190"/>
      <c r="E46" s="190"/>
      <c r="F46" s="190"/>
      <c r="G46" s="190"/>
      <c r="H46" s="190"/>
      <c r="I46" s="190"/>
      <c r="J46" s="190"/>
      <c r="K46" s="190"/>
      <c r="L46" s="72"/>
      <c r="M46" s="72"/>
      <c r="N46" s="72"/>
      <c r="O46" s="72"/>
      <c r="P46" s="72"/>
      <c r="Q46" s="72"/>
      <c r="R46" s="72"/>
      <c r="S46" s="72"/>
      <c r="T46" s="72"/>
      <c r="U46" s="72"/>
      <c r="V46" s="71"/>
    </row>
    <row r="47" spans="1:27" s="70" customFormat="1" ht="17.7" x14ac:dyDescent="0.6">
      <c r="A47" s="71"/>
      <c r="B47" s="190"/>
      <c r="C47" s="190"/>
      <c r="D47" s="190"/>
      <c r="E47" s="190"/>
      <c r="F47" s="190"/>
      <c r="G47" s="190"/>
      <c r="H47" s="190"/>
      <c r="I47" s="190"/>
      <c r="J47" s="190"/>
      <c r="K47" s="190"/>
      <c r="L47" s="72"/>
      <c r="M47" s="72"/>
      <c r="N47" s="72"/>
      <c r="O47" s="72"/>
      <c r="P47" s="72"/>
      <c r="Q47" s="72"/>
      <c r="R47" s="72"/>
      <c r="S47" s="72"/>
      <c r="T47" s="72"/>
      <c r="U47" s="72"/>
      <c r="V47" s="71"/>
    </row>
    <row r="48" spans="1:27" s="70" customFormat="1" ht="17.7" x14ac:dyDescent="0.6">
      <c r="A48" s="71"/>
      <c r="B48" s="71"/>
      <c r="C48" s="71"/>
      <c r="D48" s="71"/>
      <c r="E48" s="71"/>
      <c r="F48" s="71"/>
      <c r="G48" s="71"/>
      <c r="H48" s="71"/>
      <c r="I48" s="71"/>
      <c r="J48" s="71"/>
      <c r="K48" s="71"/>
      <c r="L48" s="71"/>
      <c r="M48" s="71"/>
      <c r="N48" s="71"/>
      <c r="O48" s="71"/>
      <c r="P48" s="71"/>
      <c r="Q48" s="71"/>
      <c r="R48" s="71"/>
      <c r="S48" s="71"/>
      <c r="T48" s="71"/>
      <c r="U48" s="71"/>
      <c r="V48" s="71"/>
    </row>
    <row r="49" spans="23:36" ht="8.25" customHeight="1" x14ac:dyDescent="0.55000000000000004"/>
    <row r="54" spans="23:36" ht="8.25" customHeight="1" x14ac:dyDescent="0.55000000000000004"/>
    <row r="59" spans="23:36" ht="8.25" customHeight="1" x14ac:dyDescent="0.55000000000000004"/>
    <row r="61" spans="23:36" s="69" customFormat="1" ht="18" customHeight="1" x14ac:dyDescent="0.55000000000000004">
      <c r="W61" s="68"/>
      <c r="X61" s="68"/>
      <c r="Y61" s="68"/>
      <c r="Z61" s="68"/>
      <c r="AA61" s="68"/>
      <c r="AB61" s="68"/>
      <c r="AC61" s="68"/>
      <c r="AD61" s="68"/>
      <c r="AE61" s="68"/>
      <c r="AF61" s="68"/>
      <c r="AG61" s="68"/>
      <c r="AH61" s="68"/>
      <c r="AI61" s="68"/>
      <c r="AJ61" s="68"/>
    </row>
  </sheetData>
  <sheetProtection password="C6A6" sheet="1" objects="1" scenarios="1"/>
  <mergeCells count="3">
    <mergeCell ref="B1:K1"/>
    <mergeCell ref="N2:O2"/>
    <mergeCell ref="B46:K47"/>
  </mergeCells>
  <printOptions horizontalCentered="1"/>
  <pageMargins left="0.55118110236220474" right="0.55118110236220474" top="0.98425196850393704" bottom="0.98425196850393704" header="0.51181102362204722" footer="0.51181102362204722"/>
  <pageSetup scale="71" firstPageNumber="3" pageOrder="overThenDown" orientation="portrait" useFirstPageNumber="1" r:id="rId1"/>
  <headerFooter scaleWithDoc="0">
    <oddHeader>&amp;L&amp;8Guidelines: Beef Grassing Production Costs&amp;R&amp;8&amp;P</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R89"/>
  <sheetViews>
    <sheetView showGridLines="0" zoomScaleNormal="100" workbookViewId="0">
      <selection activeCell="E60" activeCellId="1" sqref="E39 E60"/>
    </sheetView>
  </sheetViews>
  <sheetFormatPr defaultColWidth="11.44140625" defaultRowHeight="15" x14ac:dyDescent="0.5"/>
  <cols>
    <col min="1" max="1" width="3.44140625" style="1" customWidth="1"/>
    <col min="2" max="2" width="22.6640625" style="1" customWidth="1"/>
    <col min="3" max="3" width="8.6640625" style="1" customWidth="1"/>
    <col min="4" max="4" width="9.6640625" style="1" customWidth="1"/>
    <col min="5" max="5" width="12.6640625" style="1" customWidth="1"/>
    <col min="6" max="6" width="11.6640625" style="1" customWidth="1"/>
    <col min="7" max="7" width="12.6640625" style="1" customWidth="1"/>
    <col min="8" max="8" width="1.6640625" style="1" customWidth="1"/>
    <col min="9" max="9" width="9.6640625" style="1" customWidth="1"/>
    <col min="10" max="12" width="5.6640625" style="1" customWidth="1"/>
    <col min="13" max="13" width="16.6640625" style="1" customWidth="1"/>
    <col min="14" max="14" width="10.6640625" style="1" customWidth="1"/>
    <col min="15" max="16" width="12.6640625" style="1" customWidth="1"/>
    <col min="17" max="17" width="9.6640625" style="1" customWidth="1"/>
    <col min="18" max="18" width="1.6640625" style="1" customWidth="1"/>
    <col min="19" max="21" width="11.44140625" style="1" customWidth="1"/>
    <col min="22" max="22" width="12.6640625" style="1" customWidth="1"/>
    <col min="23" max="23" width="4.6640625" style="1" customWidth="1"/>
    <col min="24" max="24" width="11.44140625" style="1" customWidth="1"/>
    <col min="25" max="25" width="18.6640625" style="1" customWidth="1"/>
    <col min="26" max="26" width="1.6640625" style="1" customWidth="1"/>
    <col min="27" max="33" width="9.6640625" style="1" customWidth="1"/>
    <col min="34" max="34" width="11.6640625" style="1" customWidth="1"/>
    <col min="35" max="35" width="1.6640625" style="1" customWidth="1"/>
    <col min="36" max="16384" width="11.44140625" style="1"/>
  </cols>
  <sheetData>
    <row r="1" spans="2:9" ht="17.7" x14ac:dyDescent="0.6">
      <c r="B1" s="193" t="s">
        <v>118</v>
      </c>
      <c r="C1" s="193"/>
      <c r="D1" s="193"/>
      <c r="E1" s="193"/>
      <c r="F1" s="193"/>
      <c r="G1" s="193"/>
      <c r="H1" s="40"/>
      <c r="I1" s="40"/>
    </row>
    <row r="4" spans="2:9" x14ac:dyDescent="0.5">
      <c r="B4" s="6" t="s">
        <v>1</v>
      </c>
    </row>
    <row r="5" spans="2:9" x14ac:dyDescent="0.5">
      <c r="B5" s="1" t="str">
        <f>"   1.  This Budget assumes all "&amp;F10&amp;" animals are steers."</f>
        <v xml:space="preserve">   1.  This Budget assumes all 500 animals are steers.</v>
      </c>
    </row>
    <row r="6" spans="2:9" x14ac:dyDescent="0.5">
      <c r="B6" s="1" t="s">
        <v>114</v>
      </c>
    </row>
    <row r="8" spans="2:9" x14ac:dyDescent="0.5">
      <c r="D8" s="23" t="s">
        <v>86</v>
      </c>
    </row>
    <row r="10" spans="2:9" x14ac:dyDescent="0.5">
      <c r="B10" s="1" t="s">
        <v>2</v>
      </c>
      <c r="F10" s="26">
        <v>500</v>
      </c>
      <c r="G10" s="4" t="s">
        <v>119</v>
      </c>
    </row>
    <row r="11" spans="2:9" x14ac:dyDescent="0.5">
      <c r="B11" s="1" t="s">
        <v>3</v>
      </c>
      <c r="F11" s="27">
        <v>1.5</v>
      </c>
      <c r="G11" s="4" t="s">
        <v>120</v>
      </c>
    </row>
    <row r="12" spans="2:9" x14ac:dyDescent="0.5">
      <c r="B12" s="1" t="s">
        <v>110</v>
      </c>
      <c r="F12" s="28">
        <v>600</v>
      </c>
      <c r="G12" s="4" t="s">
        <v>102</v>
      </c>
    </row>
    <row r="13" spans="2:9" x14ac:dyDescent="0.5">
      <c r="B13" s="1" t="s">
        <v>4</v>
      </c>
      <c r="F13" s="49">
        <v>380</v>
      </c>
      <c r="G13" s="4" t="s">
        <v>58</v>
      </c>
    </row>
    <row r="14" spans="2:9" x14ac:dyDescent="0.5">
      <c r="B14" s="1" t="s">
        <v>5</v>
      </c>
      <c r="F14" s="28">
        <v>900</v>
      </c>
      <c r="G14" s="4" t="s">
        <v>102</v>
      </c>
    </row>
    <row r="15" spans="2:9" x14ac:dyDescent="0.5">
      <c r="B15" s="1" t="s">
        <v>6</v>
      </c>
      <c r="F15" s="30">
        <v>0.06</v>
      </c>
      <c r="G15" s="4" t="s">
        <v>120</v>
      </c>
    </row>
    <row r="16" spans="2:9" x14ac:dyDescent="0.5">
      <c r="B16" s="1" t="s">
        <v>101</v>
      </c>
      <c r="F16" s="34">
        <f>F14-(F14*F15)</f>
        <v>846</v>
      </c>
      <c r="G16" s="1" t="s">
        <v>102</v>
      </c>
    </row>
    <row r="17" spans="2:8" x14ac:dyDescent="0.5">
      <c r="B17" s="1" t="s">
        <v>239</v>
      </c>
      <c r="F17" s="49">
        <v>320</v>
      </c>
      <c r="G17" s="4" t="s">
        <v>58</v>
      </c>
    </row>
    <row r="18" spans="2:8" x14ac:dyDescent="0.5">
      <c r="B18" s="1" t="s">
        <v>262</v>
      </c>
      <c r="F18" s="29">
        <v>6</v>
      </c>
      <c r="G18" s="4" t="s">
        <v>58</v>
      </c>
    </row>
    <row r="19" spans="2:8" x14ac:dyDescent="0.5">
      <c r="B19" s="1" t="s">
        <v>106</v>
      </c>
      <c r="F19" s="31">
        <v>2</v>
      </c>
      <c r="G19" s="4" t="s">
        <v>121</v>
      </c>
    </row>
    <row r="20" spans="2:8" x14ac:dyDescent="0.5">
      <c r="B20" s="1" t="s">
        <v>105</v>
      </c>
      <c r="F20" s="35">
        <f>(F16-F12)/F21</f>
        <v>1.64</v>
      </c>
      <c r="G20" s="4" t="s">
        <v>121</v>
      </c>
      <c r="H20" s="1" t="s">
        <v>0</v>
      </c>
    </row>
    <row r="21" spans="2:8" x14ac:dyDescent="0.5">
      <c r="B21" s="1" t="s">
        <v>108</v>
      </c>
      <c r="F21" s="36">
        <f>ROUND((F14-(F12))/F19,0)</f>
        <v>150</v>
      </c>
      <c r="G21" s="4" t="s">
        <v>122</v>
      </c>
      <c r="H21" s="1" t="s">
        <v>0</v>
      </c>
    </row>
    <row r="22" spans="2:8" x14ac:dyDescent="0.5">
      <c r="B22" s="1" t="s">
        <v>7</v>
      </c>
      <c r="F22" s="28">
        <v>60</v>
      </c>
      <c r="G22" s="4" t="s">
        <v>122</v>
      </c>
    </row>
    <row r="23" spans="2:8" x14ac:dyDescent="0.5">
      <c r="B23" s="1" t="s">
        <v>107</v>
      </c>
      <c r="F23" s="36">
        <f>F21-F22</f>
        <v>90</v>
      </c>
      <c r="G23" s="4" t="s">
        <v>122</v>
      </c>
    </row>
    <row r="24" spans="2:8" x14ac:dyDescent="0.5">
      <c r="H24" s="1" t="s">
        <v>0</v>
      </c>
    </row>
    <row r="25" spans="2:8" x14ac:dyDescent="0.5">
      <c r="B25" s="1" t="s">
        <v>8</v>
      </c>
    </row>
    <row r="27" spans="2:8" x14ac:dyDescent="0.5">
      <c r="B27" s="6" t="s">
        <v>87</v>
      </c>
      <c r="D27" s="16" t="s">
        <v>90</v>
      </c>
      <c r="E27" s="191" t="s">
        <v>91</v>
      </c>
      <c r="F27" s="192"/>
    </row>
    <row r="28" spans="2:8" x14ac:dyDescent="0.5">
      <c r="B28" s="1" t="s">
        <v>92</v>
      </c>
      <c r="D28" s="29">
        <v>5</v>
      </c>
      <c r="E28" s="31">
        <v>3</v>
      </c>
      <c r="F28" s="4" t="s">
        <v>123</v>
      </c>
    </row>
    <row r="29" spans="2:8" x14ac:dyDescent="0.5">
      <c r="B29" s="1" t="s">
        <v>146</v>
      </c>
      <c r="D29" s="29">
        <v>110</v>
      </c>
      <c r="E29" s="31">
        <v>14</v>
      </c>
      <c r="F29" s="4" t="s">
        <v>123</v>
      </c>
    </row>
    <row r="30" spans="2:8" x14ac:dyDescent="0.5">
      <c r="B30" s="1" t="s">
        <v>147</v>
      </c>
      <c r="D30" s="29">
        <v>0.9</v>
      </c>
      <c r="E30" s="31">
        <v>18</v>
      </c>
      <c r="F30" s="4" t="s">
        <v>124</v>
      </c>
    </row>
    <row r="31" spans="2:8" x14ac:dyDescent="0.5">
      <c r="H31" s="1" t="s">
        <v>0</v>
      </c>
    </row>
    <row r="32" spans="2:8" x14ac:dyDescent="0.5">
      <c r="B32" s="6" t="s">
        <v>88</v>
      </c>
      <c r="F32" s="4"/>
      <c r="G32" s="2" t="s">
        <v>0</v>
      </c>
      <c r="H32" s="1" t="s">
        <v>0</v>
      </c>
    </row>
    <row r="34" spans="2:18" x14ac:dyDescent="0.5">
      <c r="B34" s="1" t="s">
        <v>9</v>
      </c>
    </row>
    <row r="35" spans="2:18" x14ac:dyDescent="0.5">
      <c r="B35" s="1" t="s">
        <v>10</v>
      </c>
      <c r="F35" s="29">
        <v>1</v>
      </c>
      <c r="R35" s="29">
        <v>0.55000000000000004</v>
      </c>
    </row>
    <row r="36" spans="2:18" x14ac:dyDescent="0.5">
      <c r="B36" s="165" t="s">
        <v>253</v>
      </c>
      <c r="C36" s="166"/>
      <c r="D36" s="166"/>
      <c r="E36" s="166"/>
      <c r="F36" s="167" t="s">
        <v>0</v>
      </c>
      <c r="G36" s="167"/>
      <c r="R36" s="32">
        <v>5</v>
      </c>
    </row>
    <row r="37" spans="2:18" x14ac:dyDescent="0.5">
      <c r="B37" s="149" t="s">
        <v>243</v>
      </c>
      <c r="C37" s="166"/>
      <c r="D37" s="166"/>
      <c r="E37" s="168">
        <f>F12</f>
        <v>600</v>
      </c>
      <c r="F37" s="149" t="s">
        <v>244</v>
      </c>
      <c r="G37" s="166"/>
    </row>
    <row r="38" spans="2:18" x14ac:dyDescent="0.5">
      <c r="B38" s="149" t="s">
        <v>245</v>
      </c>
      <c r="C38"/>
      <c r="D38"/>
      <c r="E38" s="169">
        <v>75</v>
      </c>
      <c r="F38" s="2" t="s">
        <v>246</v>
      </c>
      <c r="G38"/>
    </row>
    <row r="39" spans="2:18" x14ac:dyDescent="0.5">
      <c r="B39" s="149" t="s">
        <v>247</v>
      </c>
      <c r="C39"/>
      <c r="D39"/>
      <c r="E39" s="170">
        <v>7</v>
      </c>
      <c r="F39" s="25" t="s">
        <v>248</v>
      </c>
      <c r="G39"/>
    </row>
    <row r="40" spans="2:18" x14ac:dyDescent="0.5">
      <c r="B40" s="149" t="s">
        <v>249</v>
      </c>
      <c r="C40"/>
      <c r="D40"/>
      <c r="E40" s="171">
        <v>54000</v>
      </c>
      <c r="F40" s="25" t="s">
        <v>250</v>
      </c>
      <c r="G40"/>
    </row>
    <row r="41" spans="2:18" x14ac:dyDescent="0.5">
      <c r="B41" s="149" t="s">
        <v>251</v>
      </c>
      <c r="C41"/>
      <c r="D41"/>
      <c r="E41" s="172">
        <f>E40/E37</f>
        <v>90</v>
      </c>
      <c r="F41" s="173" t="s">
        <v>252</v>
      </c>
      <c r="G41"/>
    </row>
    <row r="42" spans="2:18" x14ac:dyDescent="0.5">
      <c r="B42" s="149"/>
      <c r="C42"/>
      <c r="D42"/>
      <c r="E42" s="172"/>
      <c r="F42" s="173"/>
      <c r="G42"/>
    </row>
    <row r="43" spans="2:18" x14ac:dyDescent="0.5">
      <c r="B43" s="1" t="s">
        <v>11</v>
      </c>
      <c r="G43"/>
    </row>
    <row r="44" spans="2:18" ht="13.5" customHeight="1" x14ac:dyDescent="0.5">
      <c r="B44" s="1" t="s">
        <v>12</v>
      </c>
      <c r="F44" s="29">
        <v>0.8</v>
      </c>
      <c r="G44"/>
    </row>
    <row r="45" spans="2:18" ht="13.5" customHeight="1" x14ac:dyDescent="0.5">
      <c r="B45" s="1" t="s">
        <v>135</v>
      </c>
      <c r="F45" s="32">
        <v>8</v>
      </c>
      <c r="G45"/>
    </row>
    <row r="46" spans="2:18" x14ac:dyDescent="0.5">
      <c r="B46" s="149"/>
      <c r="C46"/>
      <c r="D46"/>
      <c r="E46" s="172"/>
      <c r="F46" s="173"/>
      <c r="G46"/>
    </row>
    <row r="47" spans="2:18" x14ac:dyDescent="0.5">
      <c r="B47" s="1" t="s">
        <v>13</v>
      </c>
      <c r="E47" s="1" t="s">
        <v>0</v>
      </c>
      <c r="F47" s="4" t="s">
        <v>0</v>
      </c>
      <c r="G47" s="2" t="s">
        <v>0</v>
      </c>
    </row>
    <row r="48" spans="2:18" x14ac:dyDescent="0.5">
      <c r="B48" s="1" t="s">
        <v>14</v>
      </c>
      <c r="D48" s="1" t="s">
        <v>0</v>
      </c>
      <c r="E48" s="1" t="s">
        <v>0</v>
      </c>
      <c r="G48" s="2" t="s">
        <v>0</v>
      </c>
    </row>
    <row r="49" spans="2:7" x14ac:dyDescent="0.5">
      <c r="B49" s="1" t="s">
        <v>137</v>
      </c>
      <c r="F49" s="164">
        <v>0.25</v>
      </c>
      <c r="G49" s="2"/>
    </row>
    <row r="50" spans="2:7" x14ac:dyDescent="0.5">
      <c r="B50" s="1" t="s">
        <v>15</v>
      </c>
      <c r="D50" s="1" t="s">
        <v>0</v>
      </c>
      <c r="E50" s="1" t="s">
        <v>0</v>
      </c>
      <c r="F50" s="164">
        <v>0</v>
      </c>
      <c r="G50" s="2"/>
    </row>
    <row r="51" spans="2:7" x14ac:dyDescent="0.5">
      <c r="B51" s="1" t="s">
        <v>16</v>
      </c>
      <c r="E51" s="1" t="s">
        <v>0</v>
      </c>
      <c r="F51" s="164">
        <v>1.25</v>
      </c>
      <c r="G51" s="2"/>
    </row>
    <row r="52" spans="2:7" x14ac:dyDescent="0.5">
      <c r="B52" s="1" t="s">
        <v>109</v>
      </c>
      <c r="D52" s="1" t="s">
        <v>0</v>
      </c>
      <c r="E52" s="1" t="s">
        <v>0</v>
      </c>
      <c r="F52" s="164">
        <v>0.83</v>
      </c>
      <c r="G52" s="2"/>
    </row>
    <row r="53" spans="2:7" x14ac:dyDescent="0.5">
      <c r="B53" s="1" t="s">
        <v>17</v>
      </c>
      <c r="D53" s="1" t="s">
        <v>0</v>
      </c>
      <c r="E53" s="1" t="s">
        <v>0</v>
      </c>
      <c r="F53" s="164">
        <v>3.42</v>
      </c>
      <c r="G53" s="2"/>
    </row>
    <row r="54" spans="2:7" x14ac:dyDescent="0.5">
      <c r="B54" s="1" t="s">
        <v>18</v>
      </c>
      <c r="F54" s="164">
        <v>7</v>
      </c>
      <c r="G54" s="2"/>
    </row>
    <row r="55" spans="2:7" x14ac:dyDescent="0.5">
      <c r="B55" s="1" t="s">
        <v>156</v>
      </c>
      <c r="F55" s="164">
        <v>4</v>
      </c>
      <c r="G55" s="2"/>
    </row>
    <row r="56" spans="2:7" x14ac:dyDescent="0.5">
      <c r="G56" s="4"/>
    </row>
    <row r="57" spans="2:7" x14ac:dyDescent="0.5">
      <c r="B57" s="165" t="s">
        <v>254</v>
      </c>
      <c r="C57" s="166"/>
      <c r="D57" s="166"/>
      <c r="E57" s="166"/>
      <c r="F57" s="167" t="s">
        <v>0</v>
      </c>
      <c r="G57" s="167"/>
    </row>
    <row r="58" spans="2:7" x14ac:dyDescent="0.5">
      <c r="B58" s="149" t="s">
        <v>243</v>
      </c>
      <c r="C58" s="166"/>
      <c r="D58" s="166"/>
      <c r="E58" s="168">
        <f>F14</f>
        <v>900</v>
      </c>
      <c r="F58" s="149" t="s">
        <v>244</v>
      </c>
      <c r="G58" s="166"/>
    </row>
    <row r="59" spans="2:7" x14ac:dyDescent="0.5">
      <c r="B59" s="149" t="s">
        <v>245</v>
      </c>
      <c r="C59"/>
      <c r="D59"/>
      <c r="E59" s="169">
        <v>75</v>
      </c>
      <c r="F59" s="2" t="s">
        <v>246</v>
      </c>
      <c r="G59"/>
    </row>
    <row r="60" spans="2:7" x14ac:dyDescent="0.5">
      <c r="B60" s="149" t="s">
        <v>247</v>
      </c>
      <c r="C60"/>
      <c r="D60"/>
      <c r="E60" s="170">
        <v>7</v>
      </c>
      <c r="F60" s="25" t="s">
        <v>248</v>
      </c>
      <c r="G60"/>
    </row>
    <row r="61" spans="2:7" x14ac:dyDescent="0.5">
      <c r="B61" s="149" t="s">
        <v>249</v>
      </c>
      <c r="C61"/>
      <c r="D61"/>
      <c r="E61" s="171">
        <v>54000</v>
      </c>
      <c r="F61" s="25" t="s">
        <v>250</v>
      </c>
      <c r="G61"/>
    </row>
    <row r="62" spans="2:7" x14ac:dyDescent="0.5">
      <c r="B62" s="149" t="s">
        <v>251</v>
      </c>
      <c r="C62"/>
      <c r="D62"/>
      <c r="E62" s="172">
        <f>E61/E58</f>
        <v>60</v>
      </c>
      <c r="F62" s="173" t="s">
        <v>252</v>
      </c>
      <c r="G62"/>
    </row>
    <row r="63" spans="2:7" x14ac:dyDescent="0.5">
      <c r="B63" s="149"/>
      <c r="C63"/>
      <c r="D63"/>
      <c r="E63" s="172"/>
      <c r="F63" s="173"/>
      <c r="G63"/>
    </row>
    <row r="64" spans="2:7" x14ac:dyDescent="0.5">
      <c r="B64" s="1" t="s">
        <v>19</v>
      </c>
      <c r="F64" s="3" t="s">
        <v>0</v>
      </c>
      <c r="G64"/>
    </row>
    <row r="65" spans="2:8" x14ac:dyDescent="0.5">
      <c r="B65" s="1" t="s">
        <v>153</v>
      </c>
      <c r="F65" s="29">
        <v>20</v>
      </c>
      <c r="G65"/>
    </row>
    <row r="66" spans="2:8" x14ac:dyDescent="0.5">
      <c r="B66" s="1" t="s">
        <v>154</v>
      </c>
      <c r="F66" s="29">
        <v>1.35</v>
      </c>
    </row>
    <row r="67" spans="2:8" x14ac:dyDescent="0.5">
      <c r="B67" s="1" t="s">
        <v>240</v>
      </c>
      <c r="F67" s="29">
        <v>5.5</v>
      </c>
    </row>
    <row r="69" spans="2:8" x14ac:dyDescent="0.5">
      <c r="B69" s="1" t="s">
        <v>20</v>
      </c>
    </row>
    <row r="70" spans="2:8" x14ac:dyDescent="0.5">
      <c r="B70" s="1" t="s">
        <v>21</v>
      </c>
    </row>
    <row r="71" spans="2:8" x14ac:dyDescent="0.5">
      <c r="B71" s="1" t="s">
        <v>22</v>
      </c>
      <c r="F71" s="29">
        <v>0.21</v>
      </c>
    </row>
    <row r="72" spans="2:8" x14ac:dyDescent="0.5">
      <c r="B72" s="1" t="s">
        <v>23</v>
      </c>
      <c r="F72" s="29">
        <v>0</v>
      </c>
    </row>
    <row r="73" spans="2:8" x14ac:dyDescent="0.5">
      <c r="B73" s="1" t="s">
        <v>24</v>
      </c>
      <c r="F73" s="29">
        <v>49</v>
      </c>
    </row>
    <row r="75" spans="2:8" x14ac:dyDescent="0.5">
      <c r="B75" s="1" t="s">
        <v>25</v>
      </c>
      <c r="F75" s="31">
        <v>9</v>
      </c>
      <c r="H75" s="1" t="s">
        <v>0</v>
      </c>
    </row>
    <row r="76" spans="2:8" x14ac:dyDescent="0.5">
      <c r="B76" s="1" t="s">
        <v>26</v>
      </c>
      <c r="F76" s="31">
        <v>2.5</v>
      </c>
    </row>
    <row r="78" spans="2:8" x14ac:dyDescent="0.5">
      <c r="B78" s="6" t="s">
        <v>89</v>
      </c>
    </row>
    <row r="79" spans="2:8" x14ac:dyDescent="0.5">
      <c r="B79" s="1" t="s">
        <v>27</v>
      </c>
      <c r="F79" s="29">
        <v>0</v>
      </c>
    </row>
    <row r="80" spans="2:8" x14ac:dyDescent="0.5">
      <c r="B80" s="1" t="s">
        <v>28</v>
      </c>
      <c r="F80" s="29">
        <v>0</v>
      </c>
    </row>
    <row r="81" spans="2:6" x14ac:dyDescent="0.5">
      <c r="B81" s="1" t="s">
        <v>29</v>
      </c>
      <c r="F81" s="27">
        <v>2.5</v>
      </c>
    </row>
    <row r="82" spans="2:6" x14ac:dyDescent="0.5">
      <c r="B82" s="1" t="s">
        <v>234</v>
      </c>
      <c r="F82" s="32">
        <v>0.9</v>
      </c>
    </row>
    <row r="83" spans="2:6" x14ac:dyDescent="0.5">
      <c r="F83" s="32"/>
    </row>
    <row r="84" spans="2:6" x14ac:dyDescent="0.5">
      <c r="B84" s="1" t="s">
        <v>138</v>
      </c>
      <c r="F84" s="49">
        <v>800</v>
      </c>
    </row>
    <row r="85" spans="2:6" x14ac:dyDescent="0.5">
      <c r="F85" s="38"/>
    </row>
    <row r="86" spans="2:6" x14ac:dyDescent="0.5">
      <c r="B86" s="6" t="s">
        <v>148</v>
      </c>
    </row>
    <row r="87" spans="2:6" x14ac:dyDescent="0.5">
      <c r="B87" s="1" t="s">
        <v>149</v>
      </c>
      <c r="F87" s="31">
        <v>1</v>
      </c>
    </row>
    <row r="88" spans="2:6" x14ac:dyDescent="0.5">
      <c r="B88" s="1" t="s">
        <v>125</v>
      </c>
      <c r="F88" s="31">
        <v>0.4</v>
      </c>
    </row>
    <row r="89" spans="2:6" x14ac:dyDescent="0.5">
      <c r="B89" s="1" t="s">
        <v>150</v>
      </c>
      <c r="F89" s="29">
        <v>27</v>
      </c>
    </row>
  </sheetData>
  <sheetProtection password="C6A6" sheet="1" objects="1" scenarios="1"/>
  <mergeCells count="2">
    <mergeCell ref="E27:F27"/>
    <mergeCell ref="B1:G1"/>
  </mergeCells>
  <phoneticPr fontId="12" type="noConversion"/>
  <pageMargins left="0.74803149606299213" right="0.74803149606299213" top="0.98425196850393704" bottom="0.98425196850393704" header="0.51181102362204722" footer="0.51181102362204722"/>
  <pageSetup scale="93" firstPageNumber="4" fitToHeight="2" orientation="portrait" useFirstPageNumber="1" horizontalDpi="4294967293" r:id="rId1"/>
  <headerFooter scaleWithDoc="0">
    <oddHeader>&amp;LGuidelines: Beef Grassing Production Costs&amp;R&amp;P</oddHeader>
  </headerFooter>
  <rowBreaks count="1" manualBreakCount="1">
    <brk id="40"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2:Q239"/>
  <sheetViews>
    <sheetView showGridLines="0" zoomScaleNormal="100" workbookViewId="0"/>
  </sheetViews>
  <sheetFormatPr defaultColWidth="10.21875" defaultRowHeight="15" x14ac:dyDescent="0.5"/>
  <cols>
    <col min="1" max="1" width="3.109375" style="1" customWidth="1"/>
    <col min="2" max="2" width="12.44140625" style="1" customWidth="1"/>
    <col min="3" max="3" width="16.77734375" style="1" customWidth="1"/>
    <col min="4" max="4" width="3.77734375" style="1" customWidth="1"/>
    <col min="5" max="5" width="12.109375" style="1" customWidth="1"/>
    <col min="6" max="6" width="1.5546875" style="1" customWidth="1"/>
    <col min="7" max="7" width="14.109375" style="1" customWidth="1"/>
    <col min="8" max="8" width="10.6640625" style="1" customWidth="1"/>
    <col min="9" max="9" width="2.21875" style="1" customWidth="1"/>
    <col min="10" max="10" width="14.21875" style="1" customWidth="1"/>
    <col min="11" max="16384" width="10.21875" style="1"/>
  </cols>
  <sheetData>
    <row r="2" spans="2:11" ht="17.7" x14ac:dyDescent="0.6">
      <c r="B2" s="193" t="s">
        <v>40</v>
      </c>
      <c r="C2" s="193"/>
      <c r="D2" s="193"/>
      <c r="E2" s="193"/>
      <c r="F2" s="193"/>
      <c r="G2" s="193"/>
      <c r="H2" s="193"/>
      <c r="I2" s="193"/>
      <c r="J2" s="193"/>
      <c r="K2" s="193"/>
    </row>
    <row r="3" spans="2:11" x14ac:dyDescent="0.5">
      <c r="D3" s="18"/>
      <c r="E3" s="19"/>
      <c r="G3" s="6"/>
    </row>
    <row r="4" spans="2:11" x14ac:dyDescent="0.5">
      <c r="B4" s="24" t="str">
        <f>"1. Gross Average daily gain (ADG) is assumed to be " &amp;ROUND(Input!F19,2)&amp;" lbs/day. Net ADG is "&amp;ROUND(Input!F20,2)&amp;" lbs/day."</f>
        <v>1. Gross Average daily gain (ADG) is assumed to be 2 lbs/day. Net ADG is 1.64 lbs/day.</v>
      </c>
      <c r="D4" s="18"/>
      <c r="E4" s="19"/>
      <c r="G4" s="6"/>
    </row>
    <row r="5" spans="2:11" x14ac:dyDescent="0.5">
      <c r="D5" s="18"/>
      <c r="E5" s="19"/>
      <c r="G5" s="6"/>
    </row>
    <row r="6" spans="2:11" x14ac:dyDescent="0.5">
      <c r="B6" s="24" t="str">
        <f>"2. It is assumed that the feeder steer weighs in at "&amp;Input!F12&amp;" lbs."</f>
        <v>2. It is assumed that the feeder steer weighs in at 600 lbs.</v>
      </c>
      <c r="D6" s="18"/>
      <c r="E6" s="19"/>
      <c r="G6" s="6"/>
    </row>
    <row r="7" spans="2:11" x14ac:dyDescent="0.5">
      <c r="B7" s="1" t="str">
        <f>"   and is raised to "&amp;Input!F14&amp;" lbs. ("&amp;ROUND(Input!F14-(Input!F14*Input!F15),)&amp;" lbs. after "&amp;Input!F15*100&amp;"% shrink)."</f>
        <v xml:space="preserve">   and is raised to 900 lbs. (846 lbs. after 6% shrink).</v>
      </c>
      <c r="D7" s="18"/>
      <c r="E7" s="19"/>
      <c r="G7" s="6"/>
    </row>
    <row r="8" spans="2:11" x14ac:dyDescent="0.5">
      <c r="D8" s="18"/>
      <c r="E8" s="19"/>
      <c r="G8" s="6"/>
    </row>
    <row r="9" spans="2:11" x14ac:dyDescent="0.5">
      <c r="B9" s="24" t="str">
        <f>"3. Cattle are on feed for "&amp;Input!F21&amp;" days; the first "&amp;Input!F22&amp;" days in a feedlot and the remaining "&amp;Input!F21-Input!F22</f>
        <v>3. Cattle are on feed for 150 days; the first 60 days in a feedlot and the remaining 90</v>
      </c>
      <c r="D9" s="18"/>
      <c r="E9" s="19"/>
      <c r="G9" s="6"/>
    </row>
    <row r="10" spans="2:11" x14ac:dyDescent="0.5">
      <c r="B10" s="1" t="s">
        <v>41</v>
      </c>
      <c r="D10" s="18"/>
      <c r="E10" s="19"/>
      <c r="G10" s="6"/>
    </row>
    <row r="11" spans="2:11" x14ac:dyDescent="0.5">
      <c r="D11" s="18"/>
      <c r="E11" s="19"/>
      <c r="G11" s="6"/>
    </row>
    <row r="12" spans="2:11" x14ac:dyDescent="0.5">
      <c r="B12" s="1" t="str">
        <f>"4. Assumed "&amp;Input!F10&amp;" head of cattle on feed and pasture."</f>
        <v>4. Assumed 500 head of cattle on feed and pasture.</v>
      </c>
      <c r="D12" s="18"/>
      <c r="E12" s="19"/>
      <c r="G12" s="6"/>
    </row>
    <row r="13" spans="2:11" x14ac:dyDescent="0.5">
      <c r="D13" s="18"/>
      <c r="E13" s="19"/>
      <c r="G13" s="6"/>
    </row>
    <row r="14" spans="2:11" x14ac:dyDescent="0.5">
      <c r="B14" s="19"/>
    </row>
    <row r="15" spans="2:11" ht="18" customHeight="1" x14ac:dyDescent="0.6">
      <c r="B15" s="193" t="s">
        <v>117</v>
      </c>
      <c r="C15" s="193"/>
      <c r="D15" s="193"/>
      <c r="E15" s="193"/>
      <c r="F15" s="193"/>
      <c r="G15" s="193"/>
      <c r="H15" s="193"/>
      <c r="I15" s="193"/>
      <c r="J15" s="193"/>
      <c r="K15" s="193"/>
    </row>
    <row r="17" spans="2:10" x14ac:dyDescent="0.5">
      <c r="B17" s="6" t="s">
        <v>32</v>
      </c>
    </row>
    <row r="18" spans="2:10" x14ac:dyDescent="0.5">
      <c r="J18" s="20" t="s">
        <v>31</v>
      </c>
    </row>
    <row r="19" spans="2:10" x14ac:dyDescent="0.5">
      <c r="B19" s="6" t="s">
        <v>33</v>
      </c>
    </row>
    <row r="20" spans="2:10" x14ac:dyDescent="0.5">
      <c r="B20" s="6" t="s">
        <v>34</v>
      </c>
    </row>
    <row r="21" spans="2:10" x14ac:dyDescent="0.5">
      <c r="E21" s="2">
        <f>Input!F22</f>
        <v>60</v>
      </c>
      <c r="G21" s="1" t="s">
        <v>42</v>
      </c>
      <c r="J21" s="13"/>
    </row>
    <row r="22" spans="2:10" x14ac:dyDescent="0.5">
      <c r="D22" s="1" t="s">
        <v>43</v>
      </c>
      <c r="E22" s="8">
        <f>Input!E28</f>
        <v>3</v>
      </c>
      <c r="G22" s="1" t="s">
        <v>44</v>
      </c>
      <c r="J22" s="17"/>
    </row>
    <row r="23" spans="2:10" x14ac:dyDescent="0.5">
      <c r="D23" s="6" t="s">
        <v>45</v>
      </c>
      <c r="E23" s="8">
        <f>(E21*E22)/48</f>
        <v>3.75</v>
      </c>
      <c r="G23" s="1" t="s">
        <v>46</v>
      </c>
      <c r="J23" s="17"/>
    </row>
    <row r="24" spans="2:10" x14ac:dyDescent="0.5">
      <c r="B24" s="1" t="s">
        <v>0</v>
      </c>
      <c r="D24" s="14" t="s">
        <v>43</v>
      </c>
      <c r="E24" s="44">
        <f>Input!D28</f>
        <v>5</v>
      </c>
      <c r="F24" s="14"/>
      <c r="G24" s="13" t="s">
        <v>47</v>
      </c>
      <c r="J24" s="17"/>
    </row>
    <row r="25" spans="2:10" x14ac:dyDescent="0.5">
      <c r="D25" s="6" t="s">
        <v>45</v>
      </c>
      <c r="E25" s="11">
        <f>ROUND(E24*E23,2)</f>
        <v>18.75</v>
      </c>
      <c r="F25" s="6"/>
      <c r="G25" s="6" t="s">
        <v>48</v>
      </c>
      <c r="H25" s="6"/>
      <c r="J25" s="17"/>
    </row>
    <row r="27" spans="2:10" x14ac:dyDescent="0.5">
      <c r="B27" s="6" t="s">
        <v>35</v>
      </c>
    </row>
    <row r="28" spans="2:10" x14ac:dyDescent="0.5">
      <c r="E28" s="2">
        <f>Input!F22</f>
        <v>60</v>
      </c>
      <c r="G28" s="1" t="s">
        <v>49</v>
      </c>
      <c r="J28" s="13"/>
    </row>
    <row r="29" spans="2:10" x14ac:dyDescent="0.5">
      <c r="D29" s="1" t="s">
        <v>43</v>
      </c>
      <c r="E29" s="8">
        <f>Input!E29</f>
        <v>14</v>
      </c>
      <c r="G29" s="1" t="s">
        <v>44</v>
      </c>
      <c r="J29" s="17"/>
    </row>
    <row r="30" spans="2:10" x14ac:dyDescent="0.5">
      <c r="D30" s="6" t="s">
        <v>45</v>
      </c>
      <c r="E30" s="8">
        <f>(E28*E29)/2205</f>
        <v>0.38095238095238093</v>
      </c>
      <c r="G30" s="1" t="s">
        <v>152</v>
      </c>
      <c r="J30" s="17"/>
    </row>
    <row r="31" spans="2:10" x14ac:dyDescent="0.5">
      <c r="D31" s="14" t="s">
        <v>43</v>
      </c>
      <c r="E31" s="44">
        <f>Input!D29</f>
        <v>110</v>
      </c>
      <c r="F31" s="14"/>
      <c r="G31" s="13" t="s">
        <v>151</v>
      </c>
      <c r="J31" s="17"/>
    </row>
    <row r="32" spans="2:10" x14ac:dyDescent="0.5">
      <c r="D32" s="6" t="s">
        <v>45</v>
      </c>
      <c r="E32" s="11">
        <f>ROUND(E30*E31,2)</f>
        <v>41.9</v>
      </c>
      <c r="F32" s="6"/>
      <c r="G32" s="6" t="s">
        <v>48</v>
      </c>
      <c r="J32" s="17"/>
    </row>
    <row r="34" spans="2:10" x14ac:dyDescent="0.5">
      <c r="B34" s="6" t="s">
        <v>36</v>
      </c>
    </row>
    <row r="35" spans="2:10" x14ac:dyDescent="0.5">
      <c r="E35" s="8">
        <f>Input!E30</f>
        <v>18</v>
      </c>
      <c r="G35" s="1" t="s">
        <v>50</v>
      </c>
      <c r="J35" s="13"/>
    </row>
    <row r="36" spans="2:10" x14ac:dyDescent="0.5">
      <c r="D36" s="14" t="s">
        <v>43</v>
      </c>
      <c r="E36" s="44">
        <f>Input!D30</f>
        <v>0.9</v>
      </c>
      <c r="F36" s="14"/>
      <c r="G36" s="13" t="s">
        <v>51</v>
      </c>
      <c r="J36" s="17"/>
    </row>
    <row r="37" spans="2:10" x14ac:dyDescent="0.5">
      <c r="D37" s="6" t="s">
        <v>45</v>
      </c>
      <c r="E37" s="11">
        <f>ROUND(E35*E36,2)</f>
        <v>16.2</v>
      </c>
      <c r="F37" s="6"/>
      <c r="G37" s="6" t="s">
        <v>48</v>
      </c>
      <c r="H37" s="6"/>
      <c r="J37" s="17"/>
    </row>
    <row r="39" spans="2:10" x14ac:dyDescent="0.5">
      <c r="B39" s="6" t="s">
        <v>155</v>
      </c>
      <c r="E39" s="11">
        <f>E25+E32+E37</f>
        <v>76.849999999999994</v>
      </c>
      <c r="G39" s="6" t="s">
        <v>48</v>
      </c>
      <c r="J39" s="13"/>
    </row>
    <row r="40" spans="2:10" x14ac:dyDescent="0.5">
      <c r="B40" s="6"/>
      <c r="E40" s="11"/>
      <c r="G40" s="6"/>
    </row>
    <row r="41" spans="2:10" x14ac:dyDescent="0.5">
      <c r="B41" s="6" t="s">
        <v>37</v>
      </c>
    </row>
    <row r="43" spans="2:10" x14ac:dyDescent="0.5">
      <c r="B43" s="6" t="s">
        <v>52</v>
      </c>
    </row>
    <row r="44" spans="2:10" x14ac:dyDescent="0.5">
      <c r="C44" s="1" t="s">
        <v>53</v>
      </c>
      <c r="E44" s="4">
        <f>Input!F35</f>
        <v>1</v>
      </c>
      <c r="G44" s="1" t="s">
        <v>58</v>
      </c>
      <c r="J44" s="13"/>
    </row>
    <row r="45" spans="2:10" x14ac:dyDescent="0.5">
      <c r="D45" s="1" t="s">
        <v>43</v>
      </c>
      <c r="E45" s="21">
        <f>Input!F12</f>
        <v>600</v>
      </c>
      <c r="G45" s="1" t="s">
        <v>54</v>
      </c>
      <c r="J45" s="17"/>
    </row>
    <row r="46" spans="2:10" x14ac:dyDescent="0.5">
      <c r="D46" s="14" t="s">
        <v>55</v>
      </c>
      <c r="E46" s="7">
        <v>100</v>
      </c>
      <c r="F46" s="14"/>
      <c r="G46" s="13" t="s">
        <v>56</v>
      </c>
      <c r="J46" s="17"/>
    </row>
    <row r="47" spans="2:10" x14ac:dyDescent="0.5">
      <c r="D47" s="6" t="s">
        <v>45</v>
      </c>
      <c r="E47" s="4">
        <f>ROUND(E44*E45/E46,2)</f>
        <v>6</v>
      </c>
      <c r="G47" s="1" t="s">
        <v>48</v>
      </c>
      <c r="J47" s="17"/>
    </row>
    <row r="49" spans="2:10" x14ac:dyDescent="0.5">
      <c r="C49" s="1" t="s">
        <v>57</v>
      </c>
      <c r="E49" s="174">
        <f>Input!E38</f>
        <v>75</v>
      </c>
      <c r="G49" s="1" t="s">
        <v>255</v>
      </c>
      <c r="J49" s="13"/>
    </row>
    <row r="50" spans="2:10" x14ac:dyDescent="0.5">
      <c r="E50" s="4">
        <f>Input!E39</f>
        <v>7</v>
      </c>
      <c r="G50" s="1" t="s">
        <v>256</v>
      </c>
      <c r="J50" s="17"/>
    </row>
    <row r="51" spans="2:10" x14ac:dyDescent="0.5">
      <c r="E51" s="175">
        <f>Input!F10</f>
        <v>500</v>
      </c>
      <c r="G51" s="1" t="s">
        <v>257</v>
      </c>
      <c r="J51" s="17"/>
    </row>
    <row r="52" spans="2:10" x14ac:dyDescent="0.5">
      <c r="E52" s="175">
        <f>ROUNDUP(Details!E51/Input!E41,0)</f>
        <v>6</v>
      </c>
      <c r="G52" s="1" t="s">
        <v>258</v>
      </c>
      <c r="J52" s="17"/>
    </row>
    <row r="53" spans="2:10" x14ac:dyDescent="0.5">
      <c r="D53" s="14" t="s">
        <v>55</v>
      </c>
      <c r="E53" s="7">
        <f>Input!F10</f>
        <v>500</v>
      </c>
      <c r="F53" s="14"/>
      <c r="G53" s="13" t="s">
        <v>257</v>
      </c>
      <c r="H53" s="5" t="s">
        <v>0</v>
      </c>
    </row>
    <row r="54" spans="2:10" x14ac:dyDescent="0.5">
      <c r="D54" s="6" t="s">
        <v>45</v>
      </c>
      <c r="E54" s="4">
        <f>SUM(E49*E50*E52)/E53</f>
        <v>6.3</v>
      </c>
      <c r="G54" s="1" t="s">
        <v>48</v>
      </c>
      <c r="J54" s="13"/>
    </row>
    <row r="55" spans="2:10" x14ac:dyDescent="0.5">
      <c r="D55" s="6"/>
      <c r="E55" s="4"/>
      <c r="J55" s="13"/>
    </row>
    <row r="56" spans="2:10" x14ac:dyDescent="0.5">
      <c r="C56" s="1" t="s">
        <v>59</v>
      </c>
      <c r="E56" s="2">
        <f>Input!F12</f>
        <v>600</v>
      </c>
      <c r="G56" s="1" t="s">
        <v>54</v>
      </c>
      <c r="J56" s="17"/>
    </row>
    <row r="57" spans="2:10" x14ac:dyDescent="0.5">
      <c r="D57" s="1" t="s">
        <v>43</v>
      </c>
      <c r="E57" s="4">
        <f>Input!F13</f>
        <v>380</v>
      </c>
      <c r="G57" s="1" t="s">
        <v>58</v>
      </c>
      <c r="H57" s="5" t="s">
        <v>0</v>
      </c>
      <c r="J57" s="17"/>
    </row>
    <row r="58" spans="2:10" x14ac:dyDescent="0.5">
      <c r="D58" s="14" t="s">
        <v>55</v>
      </c>
      <c r="E58" s="7">
        <v>100</v>
      </c>
      <c r="F58" s="14"/>
      <c r="G58" s="13" t="s">
        <v>56</v>
      </c>
      <c r="J58" s="17"/>
    </row>
    <row r="59" spans="2:10" x14ac:dyDescent="0.5">
      <c r="D59" s="1" t="s">
        <v>45</v>
      </c>
      <c r="E59" s="4">
        <f>ROUND($E$56/100*$E$57,2)</f>
        <v>2280</v>
      </c>
      <c r="G59" s="1" t="s">
        <v>48</v>
      </c>
    </row>
    <row r="60" spans="2:10" x14ac:dyDescent="0.5">
      <c r="C60" s="6" t="s">
        <v>60</v>
      </c>
      <c r="D60" s="6"/>
      <c r="E60" s="11">
        <f>E47+E54+E59</f>
        <v>2292.3000000000002</v>
      </c>
      <c r="G60" s="6" t="s">
        <v>48</v>
      </c>
      <c r="J60" s="13"/>
    </row>
    <row r="62" spans="2:10" x14ac:dyDescent="0.5">
      <c r="B62" s="6" t="s">
        <v>132</v>
      </c>
    </row>
    <row r="63" spans="2:10" x14ac:dyDescent="0.5">
      <c r="C63" s="1" t="s">
        <v>136</v>
      </c>
      <c r="E63" s="4">
        <f>Input!F44</f>
        <v>0.8</v>
      </c>
      <c r="G63" s="1" t="s">
        <v>61</v>
      </c>
      <c r="J63" s="13"/>
    </row>
    <row r="64" spans="2:10" x14ac:dyDescent="0.5">
      <c r="D64" s="14" t="s">
        <v>43</v>
      </c>
      <c r="E64" s="7">
        <f>Input!F22</f>
        <v>60</v>
      </c>
      <c r="F64" s="14"/>
      <c r="G64" s="13" t="s">
        <v>62</v>
      </c>
      <c r="J64" s="17"/>
    </row>
    <row r="65" spans="2:10" x14ac:dyDescent="0.5">
      <c r="D65" s="1" t="s">
        <v>45</v>
      </c>
      <c r="E65" s="4">
        <f>E63*E64</f>
        <v>48</v>
      </c>
      <c r="G65" s="1" t="s">
        <v>48</v>
      </c>
      <c r="J65" s="17"/>
    </row>
    <row r="66" spans="2:10" x14ac:dyDescent="0.5">
      <c r="D66" s="6"/>
      <c r="E66" s="11"/>
      <c r="G66" s="6"/>
    </row>
    <row r="67" spans="2:10" x14ac:dyDescent="0.5">
      <c r="C67" s="1" t="s">
        <v>133</v>
      </c>
      <c r="D67" s="1" t="s">
        <v>45</v>
      </c>
      <c r="E67" s="4">
        <f>Input!F45</f>
        <v>8</v>
      </c>
      <c r="G67" s="1" t="s">
        <v>48</v>
      </c>
      <c r="J67" s="13"/>
    </row>
    <row r="68" spans="2:10" x14ac:dyDescent="0.5">
      <c r="D68" s="6"/>
      <c r="E68" s="11"/>
      <c r="G68" s="6"/>
    </row>
    <row r="69" spans="2:10" x14ac:dyDescent="0.5">
      <c r="C69" s="6" t="s">
        <v>134</v>
      </c>
      <c r="D69" s="6" t="s">
        <v>45</v>
      </c>
      <c r="E69" s="11">
        <f>E65+E67</f>
        <v>56</v>
      </c>
      <c r="G69" s="6" t="s">
        <v>48</v>
      </c>
      <c r="J69" s="13"/>
    </row>
    <row r="71" spans="2:10" x14ac:dyDescent="0.5">
      <c r="B71" s="6" t="s">
        <v>103</v>
      </c>
    </row>
    <row r="72" spans="2:10" x14ac:dyDescent="0.5">
      <c r="E72" s="4">
        <f>IF(E147&gt;0,0,Input!F82)</f>
        <v>0.9</v>
      </c>
      <c r="G72" s="1" t="s">
        <v>61</v>
      </c>
      <c r="J72" s="13"/>
    </row>
    <row r="73" spans="2:10" x14ac:dyDescent="0.5">
      <c r="D73" s="14" t="s">
        <v>43</v>
      </c>
      <c r="E73" s="45">
        <f>Input!F21-Input!F22</f>
        <v>90</v>
      </c>
      <c r="G73" s="13" t="s">
        <v>104</v>
      </c>
      <c r="J73" s="17"/>
    </row>
    <row r="74" spans="2:10" x14ac:dyDescent="0.5">
      <c r="D74" s="6" t="s">
        <v>45</v>
      </c>
      <c r="E74" s="11">
        <f>E72*E73</f>
        <v>81</v>
      </c>
      <c r="G74" s="6" t="s">
        <v>48</v>
      </c>
      <c r="J74" s="17"/>
    </row>
    <row r="76" spans="2:10" x14ac:dyDescent="0.5">
      <c r="B76" s="6" t="s">
        <v>139</v>
      </c>
    </row>
    <row r="77" spans="2:10" x14ac:dyDescent="0.5">
      <c r="E77" s="1">
        <f>Input!F84</f>
        <v>800</v>
      </c>
      <c r="G77" s="1" t="s">
        <v>140</v>
      </c>
      <c r="J77" s="13"/>
    </row>
    <row r="78" spans="2:10" x14ac:dyDescent="0.5">
      <c r="D78" s="14" t="s">
        <v>55</v>
      </c>
      <c r="E78" s="43">
        <f>Input!F10</f>
        <v>500</v>
      </c>
      <c r="F78" s="14"/>
      <c r="G78" s="13" t="s">
        <v>119</v>
      </c>
      <c r="J78" s="13"/>
    </row>
    <row r="79" spans="2:10" x14ac:dyDescent="0.5">
      <c r="D79" s="6" t="s">
        <v>45</v>
      </c>
      <c r="E79" s="39">
        <f>E77/E78</f>
        <v>1.6</v>
      </c>
      <c r="G79" s="6" t="s">
        <v>48</v>
      </c>
      <c r="J79" s="13"/>
    </row>
    <row r="81" spans="1:10" x14ac:dyDescent="0.5">
      <c r="B81" s="6" t="s">
        <v>141</v>
      </c>
    </row>
    <row r="82" spans="1:10" x14ac:dyDescent="0.5">
      <c r="E82" s="4">
        <f>Input!F49</f>
        <v>0.25</v>
      </c>
      <c r="G82" s="1" t="s">
        <v>63</v>
      </c>
      <c r="J82" s="13"/>
    </row>
    <row r="83" spans="1:10" x14ac:dyDescent="0.5">
      <c r="D83" s="1" t="s">
        <v>64</v>
      </c>
      <c r="E83" s="4">
        <f>Input!F50</f>
        <v>0</v>
      </c>
      <c r="G83" s="1" t="s">
        <v>65</v>
      </c>
      <c r="J83" s="17"/>
    </row>
    <row r="84" spans="1:10" x14ac:dyDescent="0.5">
      <c r="D84" s="1" t="s">
        <v>64</v>
      </c>
      <c r="E84" s="4">
        <f>Input!F51</f>
        <v>1.25</v>
      </c>
      <c r="G84" s="1" t="s">
        <v>115</v>
      </c>
      <c r="J84" s="17"/>
    </row>
    <row r="85" spans="1:10" x14ac:dyDescent="0.5">
      <c r="D85" s="1" t="s">
        <v>64</v>
      </c>
      <c r="E85" s="4">
        <f>Input!F52</f>
        <v>0.83</v>
      </c>
      <c r="G85" s="1" t="s">
        <v>66</v>
      </c>
      <c r="J85" s="17"/>
    </row>
    <row r="86" spans="1:10" x14ac:dyDescent="0.5">
      <c r="D86" s="1" t="s">
        <v>64</v>
      </c>
      <c r="E86" s="4">
        <f>Input!F53</f>
        <v>3.42</v>
      </c>
      <c r="G86" s="1" t="s">
        <v>111</v>
      </c>
      <c r="J86" s="17"/>
    </row>
    <row r="87" spans="1:10" x14ac:dyDescent="0.5">
      <c r="D87" s="1" t="s">
        <v>64</v>
      </c>
      <c r="E87" s="4">
        <f>Input!F54</f>
        <v>7</v>
      </c>
      <c r="G87" s="1" t="s">
        <v>112</v>
      </c>
      <c r="J87" s="17"/>
    </row>
    <row r="88" spans="1:10" x14ac:dyDescent="0.5">
      <c r="D88" s="14" t="s">
        <v>64</v>
      </c>
      <c r="E88" s="44">
        <f>Input!F55</f>
        <v>4</v>
      </c>
      <c r="F88" s="14"/>
      <c r="G88" s="13" t="s">
        <v>113</v>
      </c>
      <c r="J88" s="17"/>
    </row>
    <row r="89" spans="1:10" x14ac:dyDescent="0.5">
      <c r="D89" s="6" t="s">
        <v>45</v>
      </c>
      <c r="E89" s="11">
        <f>SUM(E82:E88)</f>
        <v>16.75</v>
      </c>
      <c r="G89" s="6" t="s">
        <v>48</v>
      </c>
      <c r="J89" s="17"/>
    </row>
    <row r="91" spans="1:10" x14ac:dyDescent="0.5">
      <c r="B91" s="6" t="s">
        <v>142</v>
      </c>
    </row>
    <row r="92" spans="1:10" x14ac:dyDescent="0.5">
      <c r="E92" s="4">
        <f>Input!F12*Input!F13/100</f>
        <v>2280</v>
      </c>
      <c r="G92" s="1" t="s">
        <v>74</v>
      </c>
      <c r="J92" s="13"/>
    </row>
    <row r="93" spans="1:10" x14ac:dyDescent="0.5">
      <c r="D93" s="1" t="s">
        <v>43</v>
      </c>
      <c r="E93" s="25">
        <f>Input!F71</f>
        <v>0.21</v>
      </c>
      <c r="G93" s="1" t="s">
        <v>97</v>
      </c>
      <c r="J93" s="17"/>
    </row>
    <row r="94" spans="1:10" x14ac:dyDescent="0.5">
      <c r="D94" s="14" t="s">
        <v>55</v>
      </c>
      <c r="E94" s="7">
        <v>100</v>
      </c>
      <c r="F94" s="14"/>
      <c r="G94" s="13" t="s">
        <v>98</v>
      </c>
      <c r="J94" s="17"/>
    </row>
    <row r="95" spans="1:10" ht="12.75" customHeight="1" x14ac:dyDescent="0.5">
      <c r="D95" s="1" t="s">
        <v>45</v>
      </c>
      <c r="E95" s="4">
        <f>((E92*E93)/E94)</f>
        <v>4.7879999999999994</v>
      </c>
      <c r="G95" s="1" t="s">
        <v>48</v>
      </c>
      <c r="J95" s="17"/>
    </row>
    <row r="96" spans="1:10" s="149" customFormat="1" x14ac:dyDescent="0.5">
      <c r="A96" s="1"/>
      <c r="B96" s="1"/>
      <c r="C96" s="1"/>
      <c r="D96" s="1"/>
      <c r="E96" s="4"/>
      <c r="F96" s="1"/>
      <c r="G96" s="1"/>
      <c r="H96" s="1"/>
      <c r="I96" s="1"/>
      <c r="J96" s="13"/>
    </row>
    <row r="97" spans="1:10" s="149" customFormat="1" x14ac:dyDescent="0.5">
      <c r="E97" s="149">
        <f>Input!F73</f>
        <v>49</v>
      </c>
      <c r="F97" s="42"/>
      <c r="G97" s="149" t="s">
        <v>232</v>
      </c>
      <c r="J97" s="150"/>
    </row>
    <row r="98" spans="1:10" s="149" customFormat="1" x14ac:dyDescent="0.5">
      <c r="D98" s="151" t="s">
        <v>55</v>
      </c>
      <c r="E98" s="43">
        <f>Input!F10</f>
        <v>500</v>
      </c>
      <c r="F98" s="133"/>
      <c r="G98" s="152" t="s">
        <v>233</v>
      </c>
      <c r="I98" s="151"/>
      <c r="J98" s="150"/>
    </row>
    <row r="99" spans="1:10" s="149" customFormat="1" x14ac:dyDescent="0.5">
      <c r="D99" s="149" t="s">
        <v>45</v>
      </c>
      <c r="E99" s="25">
        <f>SUM(E97/E98)</f>
        <v>9.8000000000000004E-2</v>
      </c>
      <c r="F99" s="42"/>
      <c r="G99" s="149" t="s">
        <v>48</v>
      </c>
      <c r="J99" s="150"/>
    </row>
    <row r="100" spans="1:10" ht="13.5" customHeight="1" x14ac:dyDescent="0.5">
      <c r="A100" s="149"/>
      <c r="B100" s="149"/>
      <c r="C100" s="149"/>
      <c r="D100" s="149"/>
      <c r="E100" s="25"/>
      <c r="F100" s="42"/>
      <c r="G100" s="149"/>
      <c r="H100" s="149"/>
      <c r="I100" s="149"/>
      <c r="J100" s="149"/>
    </row>
    <row r="101" spans="1:10" ht="12.75" customHeight="1" x14ac:dyDescent="0.5">
      <c r="C101" s="6" t="s">
        <v>85</v>
      </c>
      <c r="D101" s="6" t="s">
        <v>45</v>
      </c>
      <c r="E101" s="11">
        <f>E95+E99</f>
        <v>4.8859999999999992</v>
      </c>
      <c r="G101" s="6" t="s">
        <v>48</v>
      </c>
      <c r="J101" s="13"/>
    </row>
    <row r="103" spans="1:10" x14ac:dyDescent="0.5">
      <c r="B103" s="6" t="s">
        <v>231</v>
      </c>
    </row>
    <row r="104" spans="1:10" x14ac:dyDescent="0.5">
      <c r="B104" s="6"/>
      <c r="C104" s="1" t="s">
        <v>259</v>
      </c>
      <c r="E104" s="174">
        <f>Input!E59</f>
        <v>75</v>
      </c>
      <c r="G104" s="1" t="s">
        <v>255</v>
      </c>
      <c r="J104" s="17"/>
    </row>
    <row r="105" spans="1:10" x14ac:dyDescent="0.5">
      <c r="B105" s="6"/>
      <c r="E105" s="4">
        <f>Input!E60</f>
        <v>7</v>
      </c>
      <c r="G105" s="1" t="s">
        <v>256</v>
      </c>
      <c r="J105" s="17"/>
    </row>
    <row r="106" spans="1:10" x14ac:dyDescent="0.5">
      <c r="B106" s="6"/>
      <c r="E106" s="174">
        <f>Input!F10</f>
        <v>500</v>
      </c>
      <c r="G106" s="1" t="s">
        <v>257</v>
      </c>
      <c r="J106" s="17"/>
    </row>
    <row r="107" spans="1:10" x14ac:dyDescent="0.5">
      <c r="B107" s="6"/>
      <c r="E107" s="174">
        <f>ROUNDUP(E106/Input!E62,0)</f>
        <v>9</v>
      </c>
      <c r="G107" s="1" t="s">
        <v>258</v>
      </c>
      <c r="J107" s="13"/>
    </row>
    <row r="108" spans="1:10" ht="15" customHeight="1" x14ac:dyDescent="0.5">
      <c r="B108" s="6"/>
      <c r="D108" s="14" t="s">
        <v>55</v>
      </c>
      <c r="E108" s="7">
        <f>Input!F10</f>
        <v>500</v>
      </c>
      <c r="F108" s="14"/>
      <c r="G108" s="13" t="s">
        <v>257</v>
      </c>
      <c r="J108" s="13"/>
    </row>
    <row r="109" spans="1:10" x14ac:dyDescent="0.5">
      <c r="B109" s="6"/>
      <c r="D109" s="6" t="s">
        <v>45</v>
      </c>
      <c r="E109" s="4">
        <f>SUM(E104*E105*E107)/E108</f>
        <v>9.4499999999999993</v>
      </c>
      <c r="G109" s="1" t="s">
        <v>48</v>
      </c>
      <c r="J109" s="13"/>
    </row>
    <row r="111" spans="1:10" x14ac:dyDescent="0.5">
      <c r="C111" s="1" t="s">
        <v>242</v>
      </c>
    </row>
    <row r="112" spans="1:10" x14ac:dyDescent="0.5">
      <c r="E112" s="4">
        <f>Input!F67</f>
        <v>5.5</v>
      </c>
      <c r="G112" s="1" t="s">
        <v>241</v>
      </c>
      <c r="J112" s="13"/>
    </row>
    <row r="113" spans="2:10" x14ac:dyDescent="0.5">
      <c r="D113" s="1" t="s">
        <v>64</v>
      </c>
      <c r="E113" s="4">
        <f>SUM(Input!F18*Input!F16/100)</f>
        <v>50.76</v>
      </c>
      <c r="G113" s="1" t="s">
        <v>262</v>
      </c>
      <c r="J113" s="13"/>
    </row>
    <row r="114" spans="2:10" x14ac:dyDescent="0.5">
      <c r="D114" s="1" t="s">
        <v>64</v>
      </c>
      <c r="E114" s="4">
        <f>Input!F65</f>
        <v>20</v>
      </c>
      <c r="G114" s="1" t="s">
        <v>67</v>
      </c>
      <c r="J114" s="13"/>
    </row>
    <row r="115" spans="2:10" ht="12.75" customHeight="1" x14ac:dyDescent="0.5">
      <c r="D115" s="14" t="s">
        <v>64</v>
      </c>
      <c r="E115" s="44">
        <f>Input!F66</f>
        <v>1.35</v>
      </c>
      <c r="F115" s="14"/>
      <c r="G115" s="13" t="s">
        <v>68</v>
      </c>
      <c r="J115" s="17"/>
    </row>
    <row r="116" spans="2:10" x14ac:dyDescent="0.5">
      <c r="D116" s="1" t="s">
        <v>45</v>
      </c>
      <c r="E116" s="4">
        <f>E114+E115+E112+E113</f>
        <v>77.61</v>
      </c>
      <c r="G116" s="1" t="s">
        <v>48</v>
      </c>
      <c r="J116" s="17"/>
    </row>
    <row r="117" spans="2:10" ht="13.5" customHeight="1" x14ac:dyDescent="0.5"/>
    <row r="118" spans="2:10" x14ac:dyDescent="0.5">
      <c r="C118" s="6" t="s">
        <v>260</v>
      </c>
      <c r="D118" s="6" t="s">
        <v>45</v>
      </c>
      <c r="E118" s="11">
        <f>E109+E116</f>
        <v>87.06</v>
      </c>
      <c r="G118" s="6" t="s">
        <v>48</v>
      </c>
      <c r="J118" s="13"/>
    </row>
    <row r="120" spans="2:10" x14ac:dyDescent="0.5">
      <c r="B120" s="6" t="s">
        <v>143</v>
      </c>
    </row>
    <row r="121" spans="2:10" x14ac:dyDescent="0.5">
      <c r="E121" s="4">
        <f>E60</f>
        <v>2292.3000000000002</v>
      </c>
      <c r="G121" s="1" t="s">
        <v>69</v>
      </c>
      <c r="J121" s="13"/>
    </row>
    <row r="122" spans="2:10" x14ac:dyDescent="0.5">
      <c r="D122" s="1" t="s">
        <v>64</v>
      </c>
      <c r="E122" s="4">
        <f>SUM(Summary!H9:H17)-Summary!H17</f>
        <v>2529.386</v>
      </c>
      <c r="G122" s="1" t="s">
        <v>70</v>
      </c>
      <c r="J122" s="17"/>
    </row>
    <row r="123" spans="2:10" x14ac:dyDescent="0.5">
      <c r="D123" s="1" t="s">
        <v>55</v>
      </c>
      <c r="E123" s="22">
        <v>2</v>
      </c>
      <c r="G123" s="1" t="s">
        <v>71</v>
      </c>
      <c r="J123" s="17"/>
    </row>
    <row r="124" spans="2:10" x14ac:dyDescent="0.5">
      <c r="D124" s="1" t="s">
        <v>45</v>
      </c>
      <c r="E124" s="4">
        <f>SUM(E121+E122)/2</f>
        <v>2410.8429999999998</v>
      </c>
      <c r="G124" s="1" t="s">
        <v>72</v>
      </c>
      <c r="J124" s="17"/>
    </row>
    <row r="125" spans="2:10" ht="13.5" customHeight="1" x14ac:dyDescent="0.5">
      <c r="D125" s="14" t="s">
        <v>43</v>
      </c>
      <c r="E125" s="46">
        <f>Input!F11</f>
        <v>1.5</v>
      </c>
      <c r="F125" s="14"/>
      <c r="G125" s="13" t="s">
        <v>73</v>
      </c>
      <c r="H125" s="14"/>
      <c r="J125" s="17"/>
    </row>
    <row r="126" spans="2:10" x14ac:dyDescent="0.5">
      <c r="D126" s="6" t="s">
        <v>45</v>
      </c>
      <c r="E126" s="11">
        <f>(E124*E125)/100</f>
        <v>36.162644999999998</v>
      </c>
      <c r="G126" s="6" t="s">
        <v>48</v>
      </c>
      <c r="J126" s="17"/>
    </row>
    <row r="128" spans="2:10" x14ac:dyDescent="0.5">
      <c r="B128" s="6" t="s">
        <v>144</v>
      </c>
    </row>
    <row r="129" spans="2:10" x14ac:dyDescent="0.5">
      <c r="E129" s="4">
        <f>E60</f>
        <v>2292.3000000000002</v>
      </c>
      <c r="G129" s="1" t="s">
        <v>74</v>
      </c>
      <c r="J129" s="13"/>
    </row>
    <row r="130" spans="2:10" x14ac:dyDescent="0.5">
      <c r="D130" s="1" t="s">
        <v>64</v>
      </c>
      <c r="E130" s="4">
        <f>(Summary!H9+SUM(Summary!H12:H18))/2</f>
        <v>180.15432249999998</v>
      </c>
      <c r="G130" s="1" t="s">
        <v>75</v>
      </c>
      <c r="J130" s="17"/>
    </row>
    <row r="131" spans="2:10" x14ac:dyDescent="0.5">
      <c r="D131" s="1" t="s">
        <v>43</v>
      </c>
      <c r="E131" s="8">
        <f>Input!F75</f>
        <v>9</v>
      </c>
      <c r="G131" s="1" t="s">
        <v>76</v>
      </c>
      <c r="J131" s="17"/>
    </row>
    <row r="132" spans="2:10" x14ac:dyDescent="0.5">
      <c r="D132" s="1" t="s">
        <v>43</v>
      </c>
      <c r="E132" s="21">
        <f>Input!F21</f>
        <v>150</v>
      </c>
      <c r="G132" s="1" t="s">
        <v>62</v>
      </c>
      <c r="J132" s="17"/>
    </row>
    <row r="133" spans="2:10" ht="13.5" customHeight="1" x14ac:dyDescent="0.5">
      <c r="D133" s="14" t="s">
        <v>55</v>
      </c>
      <c r="E133" s="7">
        <v>365</v>
      </c>
      <c r="F133" s="14"/>
      <c r="G133" s="13" t="s">
        <v>77</v>
      </c>
      <c r="J133" s="17"/>
    </row>
    <row r="134" spans="2:10" x14ac:dyDescent="0.5">
      <c r="D134" s="6" t="s">
        <v>45</v>
      </c>
      <c r="E134" s="11">
        <f>ROUND((E129+E130)*(E131/100),2)*E132/365</f>
        <v>91.446575342465749</v>
      </c>
      <c r="G134" s="6" t="s">
        <v>48</v>
      </c>
      <c r="J134" s="17"/>
    </row>
    <row r="136" spans="2:10" x14ac:dyDescent="0.5">
      <c r="B136" s="6" t="s">
        <v>99</v>
      </c>
    </row>
    <row r="137" spans="2:10" x14ac:dyDescent="0.5">
      <c r="C137" s="1" t="s">
        <v>93</v>
      </c>
    </row>
    <row r="138" spans="2:10" x14ac:dyDescent="0.5">
      <c r="E138" s="22">
        <f>Input!F81</f>
        <v>2.5</v>
      </c>
      <c r="G138" s="1" t="s">
        <v>78</v>
      </c>
      <c r="J138" s="13"/>
    </row>
    <row r="139" spans="2:10" x14ac:dyDescent="0.5">
      <c r="D139" s="1" t="s">
        <v>43</v>
      </c>
      <c r="E139" s="4">
        <f>Input!F79</f>
        <v>0</v>
      </c>
      <c r="G139" s="1" t="s">
        <v>100</v>
      </c>
      <c r="J139" s="17"/>
    </row>
    <row r="140" spans="2:10" x14ac:dyDescent="0.5">
      <c r="D140" s="14" t="s">
        <v>43</v>
      </c>
      <c r="E140" s="47">
        <f>Input!F76</f>
        <v>2.5</v>
      </c>
      <c r="F140" s="14"/>
      <c r="G140" s="13" t="s">
        <v>80</v>
      </c>
      <c r="H140" s="14"/>
      <c r="J140" s="17"/>
    </row>
    <row r="141" spans="2:10" x14ac:dyDescent="0.5">
      <c r="D141" s="1" t="s">
        <v>45</v>
      </c>
      <c r="E141" s="4">
        <f>ROUND((E138*E139*(E140/100)),2)</f>
        <v>0</v>
      </c>
      <c r="G141" s="1" t="s">
        <v>48</v>
      </c>
      <c r="J141" s="17"/>
    </row>
    <row r="142" spans="2:10" x14ac:dyDescent="0.5">
      <c r="C142" s="1" t="s">
        <v>94</v>
      </c>
    </row>
    <row r="143" spans="2:10" x14ac:dyDescent="0.5">
      <c r="E143" s="22">
        <f>Input!F81</f>
        <v>2.5</v>
      </c>
      <c r="G143" s="1" t="s">
        <v>78</v>
      </c>
      <c r="J143" s="13"/>
    </row>
    <row r="144" spans="2:10" ht="12" customHeight="1" x14ac:dyDescent="0.5">
      <c r="D144" s="14" t="s">
        <v>43</v>
      </c>
      <c r="E144" s="44">
        <f>Input!F80</f>
        <v>0</v>
      </c>
      <c r="F144" s="14"/>
      <c r="G144" s="13" t="s">
        <v>79</v>
      </c>
      <c r="J144" s="17"/>
    </row>
    <row r="145" spans="2:10" x14ac:dyDescent="0.5">
      <c r="D145" s="1" t="s">
        <v>45</v>
      </c>
      <c r="E145" s="4">
        <f>E143*E144</f>
        <v>0</v>
      </c>
      <c r="G145" s="1" t="s">
        <v>48</v>
      </c>
      <c r="J145" s="17"/>
    </row>
    <row r="147" spans="2:10" x14ac:dyDescent="0.5">
      <c r="C147" s="6" t="s">
        <v>85</v>
      </c>
      <c r="D147" s="6" t="s">
        <v>45</v>
      </c>
      <c r="E147" s="11">
        <f>E141+E145</f>
        <v>0</v>
      </c>
      <c r="G147" s="6" t="s">
        <v>48</v>
      </c>
      <c r="J147" s="13"/>
    </row>
    <row r="149" spans="2:10" x14ac:dyDescent="0.5">
      <c r="B149" s="6" t="s">
        <v>157</v>
      </c>
    </row>
    <row r="150" spans="2:10" x14ac:dyDescent="0.5">
      <c r="B150" s="6"/>
      <c r="C150" s="1" t="s">
        <v>130</v>
      </c>
      <c r="E150" s="8">
        <f>Input!F87</f>
        <v>1</v>
      </c>
      <c r="G150" s="1" t="s">
        <v>126</v>
      </c>
      <c r="J150" s="13"/>
    </row>
    <row r="151" spans="2:10" x14ac:dyDescent="0.5">
      <c r="B151" s="6"/>
      <c r="D151" s="1" t="s">
        <v>43</v>
      </c>
      <c r="E151" s="2">
        <f>Input!F22</f>
        <v>60</v>
      </c>
      <c r="G151" s="1" t="s">
        <v>127</v>
      </c>
      <c r="J151" s="13"/>
    </row>
    <row r="152" spans="2:10" x14ac:dyDescent="0.5">
      <c r="B152" s="6"/>
      <c r="D152" s="1" t="s">
        <v>55</v>
      </c>
      <c r="E152" s="2">
        <f>Input!F10</f>
        <v>500</v>
      </c>
      <c r="G152" s="1" t="s">
        <v>119</v>
      </c>
      <c r="J152" s="13"/>
    </row>
    <row r="153" spans="2:10" x14ac:dyDescent="0.5">
      <c r="B153" s="6"/>
      <c r="D153" s="14" t="s">
        <v>43</v>
      </c>
      <c r="E153" s="48">
        <f>Input!F89</f>
        <v>27</v>
      </c>
      <c r="G153" s="13" t="s">
        <v>128</v>
      </c>
      <c r="J153" s="13"/>
    </row>
    <row r="154" spans="2:10" x14ac:dyDescent="0.5">
      <c r="B154" s="6"/>
      <c r="D154" s="1" t="s">
        <v>45</v>
      </c>
      <c r="E154" s="25">
        <f>((E150*E151)/E152)*E153</f>
        <v>3.2399999999999998</v>
      </c>
      <c r="G154" s="1" t="s">
        <v>48</v>
      </c>
      <c r="J154" s="13"/>
    </row>
    <row r="155" spans="2:10" x14ac:dyDescent="0.5">
      <c r="B155" s="6"/>
      <c r="E155" s="8"/>
      <c r="G155" s="6"/>
    </row>
    <row r="156" spans="2:10" x14ac:dyDescent="0.5">
      <c r="B156" s="6"/>
      <c r="C156" s="1" t="s">
        <v>131</v>
      </c>
      <c r="E156" s="8">
        <f>Input!F88</f>
        <v>0.4</v>
      </c>
      <c r="G156" s="1" t="s">
        <v>129</v>
      </c>
      <c r="J156" s="13"/>
    </row>
    <row r="157" spans="2:10" x14ac:dyDescent="0.5">
      <c r="B157" s="6"/>
      <c r="D157" s="1" t="s">
        <v>43</v>
      </c>
      <c r="E157" s="2">
        <f>Input!F23</f>
        <v>90</v>
      </c>
      <c r="G157" s="1" t="s">
        <v>104</v>
      </c>
      <c r="J157" s="17"/>
    </row>
    <row r="158" spans="2:10" x14ac:dyDescent="0.5">
      <c r="D158" s="1" t="s">
        <v>55</v>
      </c>
      <c r="E158" s="2">
        <f>Input!F10</f>
        <v>500</v>
      </c>
      <c r="G158" s="1" t="s">
        <v>119</v>
      </c>
    </row>
    <row r="159" spans="2:10" x14ac:dyDescent="0.5">
      <c r="D159" s="14" t="s">
        <v>43</v>
      </c>
      <c r="E159" s="44">
        <f>Input!F89</f>
        <v>27</v>
      </c>
      <c r="F159" s="14"/>
      <c r="G159" s="13" t="s">
        <v>128</v>
      </c>
      <c r="J159" s="17"/>
    </row>
    <row r="160" spans="2:10" x14ac:dyDescent="0.5">
      <c r="D160" s="1" t="s">
        <v>45</v>
      </c>
      <c r="E160" s="25">
        <f>((E156*E157)/E158)*E159</f>
        <v>1.944</v>
      </c>
      <c r="G160" s="1" t="s">
        <v>48</v>
      </c>
      <c r="J160" s="17"/>
    </row>
    <row r="161" spans="1:11" x14ac:dyDescent="0.5">
      <c r="D161" s="6"/>
      <c r="E161" s="11"/>
      <c r="G161" s="6"/>
    </row>
    <row r="162" spans="1:11" s="41" customFormat="1" ht="15" customHeight="1" x14ac:dyDescent="0.55000000000000004">
      <c r="A162" s="1"/>
      <c r="B162" s="1"/>
      <c r="C162" s="6" t="s">
        <v>85</v>
      </c>
      <c r="D162" s="6" t="s">
        <v>45</v>
      </c>
      <c r="E162" s="11">
        <f>E154+E160</f>
        <v>5.1839999999999993</v>
      </c>
      <c r="F162" s="1"/>
      <c r="G162" s="6" t="s">
        <v>48</v>
      </c>
      <c r="H162" s="1"/>
      <c r="I162" s="1"/>
      <c r="J162" s="13"/>
      <c r="K162" s="1"/>
    </row>
    <row r="163" spans="1:11" s="129" customFormat="1" x14ac:dyDescent="0.5">
      <c r="A163" s="1"/>
      <c r="B163" s="1"/>
      <c r="C163" s="1"/>
      <c r="D163" s="6"/>
      <c r="E163" s="11"/>
      <c r="F163" s="1"/>
      <c r="G163" s="6"/>
      <c r="H163" s="1"/>
      <c r="I163" s="1"/>
      <c r="J163" s="1"/>
      <c r="K163" s="1"/>
    </row>
    <row r="164" spans="1:11" s="129" customFormat="1" x14ac:dyDescent="0.5">
      <c r="A164" s="1"/>
      <c r="B164" s="194" t="s">
        <v>199</v>
      </c>
      <c r="C164" s="194"/>
      <c r="D164" s="194"/>
      <c r="E164" s="194"/>
      <c r="F164" s="194"/>
      <c r="G164" s="194"/>
      <c r="H164" s="194"/>
      <c r="I164" s="194"/>
      <c r="J164" s="194"/>
      <c r="K164" s="1"/>
    </row>
    <row r="165" spans="1:11" s="129" customFormat="1" x14ac:dyDescent="0.5">
      <c r="A165" s="1"/>
      <c r="B165" s="134"/>
      <c r="K165" s="1"/>
    </row>
    <row r="166" spans="1:11" s="129" customFormat="1" x14ac:dyDescent="0.5">
      <c r="A166" s="1"/>
      <c r="B166" s="130" t="s">
        <v>196</v>
      </c>
      <c r="E166" s="42">
        <f>Summary!H21</f>
        <v>2744.06</v>
      </c>
      <c r="G166" s="129" t="s">
        <v>203</v>
      </c>
      <c r="J166" s="132"/>
      <c r="K166" s="1"/>
    </row>
    <row r="167" spans="1:11" s="129" customFormat="1" x14ac:dyDescent="0.5">
      <c r="A167" s="1"/>
      <c r="D167" s="137" t="s">
        <v>84</v>
      </c>
      <c r="E167" s="42">
        <f>Summary!H11</f>
        <v>2292.3000000000002</v>
      </c>
      <c r="G167" s="129" t="s">
        <v>74</v>
      </c>
      <c r="J167" s="132"/>
      <c r="K167" s="1"/>
    </row>
    <row r="168" spans="1:11" s="129" customFormat="1" ht="17.399999999999999" x14ac:dyDescent="0.55000000000000004">
      <c r="A168" s="1"/>
      <c r="D168" s="129" t="s">
        <v>55</v>
      </c>
      <c r="E168" s="133">
        <f>SUM(Input!F16-Input!F12)</f>
        <v>246</v>
      </c>
      <c r="G168" s="134" t="s">
        <v>201</v>
      </c>
      <c r="J168" s="132"/>
      <c r="K168" s="41"/>
    </row>
    <row r="169" spans="1:11" s="129" customFormat="1" ht="17.399999999999999" x14ac:dyDescent="0.55000000000000004">
      <c r="A169" s="41"/>
      <c r="D169" s="135" t="s">
        <v>45</v>
      </c>
      <c r="E169" s="107">
        <f>(E166-E167)/E168</f>
        <v>1.8364227642276414</v>
      </c>
      <c r="G169" s="130" t="s">
        <v>202</v>
      </c>
      <c r="J169" s="132"/>
    </row>
    <row r="170" spans="1:11" s="129" customFormat="1" x14ac:dyDescent="0.5">
      <c r="A170" s="130" t="s">
        <v>200</v>
      </c>
      <c r="F170" s="136"/>
    </row>
    <row r="171" spans="1:11" s="129" customFormat="1" x14ac:dyDescent="0.5">
      <c r="B171" s="130" t="s">
        <v>204</v>
      </c>
      <c r="E171" s="42">
        <f>Summary!H21+Summary!H26</f>
        <v>2749.24</v>
      </c>
      <c r="G171" s="129" t="s">
        <v>203</v>
      </c>
      <c r="J171" s="132"/>
    </row>
    <row r="172" spans="1:11" s="129" customFormat="1" x14ac:dyDescent="0.5">
      <c r="D172" s="137" t="s">
        <v>84</v>
      </c>
      <c r="E172" s="136">
        <f>E167</f>
        <v>2292.3000000000002</v>
      </c>
      <c r="G172" s="129" t="s">
        <v>74</v>
      </c>
      <c r="J172" s="132"/>
    </row>
    <row r="173" spans="1:11" s="129" customFormat="1" x14ac:dyDescent="0.5">
      <c r="D173" s="129" t="s">
        <v>55</v>
      </c>
      <c r="E173" s="138">
        <f>E168</f>
        <v>246</v>
      </c>
      <c r="G173" s="134" t="s">
        <v>201</v>
      </c>
      <c r="J173" s="132"/>
    </row>
    <row r="174" spans="1:11" s="129" customFormat="1" x14ac:dyDescent="0.5">
      <c r="D174" s="135" t="s">
        <v>45</v>
      </c>
      <c r="E174" s="107">
        <f>(E171-E172)/E173</f>
        <v>1.8574796747967464</v>
      </c>
      <c r="G174" s="130" t="s">
        <v>202</v>
      </c>
      <c r="J174" s="132"/>
    </row>
    <row r="175" spans="1:11" s="129" customFormat="1" x14ac:dyDescent="0.5">
      <c r="F175" s="136"/>
    </row>
    <row r="176" spans="1:11" s="129" customFormat="1" x14ac:dyDescent="0.5">
      <c r="B176" s="130" t="s">
        <v>205</v>
      </c>
      <c r="E176" s="42">
        <f>Summary!H21+Summary!H23</f>
        <v>2744.06</v>
      </c>
      <c r="G176" s="129" t="s">
        <v>206</v>
      </c>
      <c r="J176" s="132"/>
    </row>
    <row r="177" spans="1:10" s="129" customFormat="1" x14ac:dyDescent="0.5">
      <c r="B177" s="130"/>
      <c r="D177" s="137" t="s">
        <v>84</v>
      </c>
      <c r="E177" s="42">
        <f>E167</f>
        <v>2292.3000000000002</v>
      </c>
      <c r="G177" s="129" t="s">
        <v>74</v>
      </c>
      <c r="J177" s="132"/>
    </row>
    <row r="178" spans="1:10" s="129" customFormat="1" x14ac:dyDescent="0.5">
      <c r="B178" s="130"/>
      <c r="D178" s="129" t="s">
        <v>55</v>
      </c>
      <c r="E178" s="133">
        <f>E168</f>
        <v>246</v>
      </c>
      <c r="G178" s="134" t="s">
        <v>201</v>
      </c>
      <c r="J178" s="132"/>
    </row>
    <row r="179" spans="1:10" s="129" customFormat="1" x14ac:dyDescent="0.5">
      <c r="B179" s="130"/>
      <c r="D179" s="135" t="s">
        <v>45</v>
      </c>
      <c r="E179" s="107">
        <f>(E176-E177)/E178</f>
        <v>1.8364227642276414</v>
      </c>
      <c r="G179" s="130" t="s">
        <v>202</v>
      </c>
      <c r="J179" s="132"/>
    </row>
    <row r="180" spans="1:10" s="129" customFormat="1" x14ac:dyDescent="0.5">
      <c r="B180" s="130"/>
      <c r="F180" s="136"/>
    </row>
    <row r="181" spans="1:10" s="129" customFormat="1" x14ac:dyDescent="0.5">
      <c r="B181" s="130" t="s">
        <v>39</v>
      </c>
      <c r="F181" s="42">
        <f>Summary!H28</f>
        <v>2749.24</v>
      </c>
      <c r="G181" s="129" t="s">
        <v>207</v>
      </c>
      <c r="J181" s="132"/>
    </row>
    <row r="182" spans="1:10" s="129" customFormat="1" x14ac:dyDescent="0.5">
      <c r="B182" s="130"/>
      <c r="D182" s="137" t="s">
        <v>84</v>
      </c>
      <c r="E182" s="42">
        <f>E167</f>
        <v>2292.3000000000002</v>
      </c>
      <c r="G182" s="129" t="s">
        <v>74</v>
      </c>
      <c r="J182" s="132"/>
    </row>
    <row r="183" spans="1:10" s="129" customFormat="1" x14ac:dyDescent="0.5">
      <c r="B183" s="130"/>
      <c r="D183" s="129" t="s">
        <v>55</v>
      </c>
      <c r="E183" s="133">
        <f>E168</f>
        <v>246</v>
      </c>
      <c r="G183" s="134" t="s">
        <v>201</v>
      </c>
      <c r="J183" s="132"/>
    </row>
    <row r="184" spans="1:10" s="129" customFormat="1" x14ac:dyDescent="0.5">
      <c r="B184" s="130"/>
      <c r="D184" s="135" t="s">
        <v>45</v>
      </c>
      <c r="E184" s="107">
        <f>(F181-E182)/E183</f>
        <v>1.8574796747967464</v>
      </c>
      <c r="G184" s="130" t="s">
        <v>202</v>
      </c>
      <c r="J184" s="132"/>
    </row>
    <row r="185" spans="1:10" s="129" customFormat="1" x14ac:dyDescent="0.5"/>
    <row r="186" spans="1:10" s="129" customFormat="1" x14ac:dyDescent="0.5">
      <c r="B186" s="130" t="s">
        <v>196</v>
      </c>
      <c r="E186" s="42">
        <f>Summary!H21</f>
        <v>2744.06</v>
      </c>
      <c r="G186" s="129" t="s">
        <v>203</v>
      </c>
      <c r="J186" s="132"/>
    </row>
    <row r="187" spans="1:10" s="129" customFormat="1" x14ac:dyDescent="0.5">
      <c r="D187" s="129" t="s">
        <v>55</v>
      </c>
      <c r="E187" s="133">
        <f>Input!F16</f>
        <v>846</v>
      </c>
      <c r="G187" s="134" t="s">
        <v>209</v>
      </c>
      <c r="I187" s="134"/>
      <c r="J187" s="132"/>
    </row>
    <row r="188" spans="1:10" s="129" customFormat="1" x14ac:dyDescent="0.5">
      <c r="D188" s="135" t="s">
        <v>45</v>
      </c>
      <c r="E188" s="107">
        <f>E186/E187</f>
        <v>3.2435697399527186</v>
      </c>
      <c r="G188" s="130" t="s">
        <v>210</v>
      </c>
      <c r="J188" s="132"/>
    </row>
    <row r="189" spans="1:10" s="129" customFormat="1" x14ac:dyDescent="0.5"/>
    <row r="190" spans="1:10" s="129" customFormat="1" x14ac:dyDescent="0.5">
      <c r="A190" s="130" t="s">
        <v>208</v>
      </c>
      <c r="B190" s="130" t="s">
        <v>204</v>
      </c>
      <c r="E190" s="136">
        <f>Summary!H21+Summary!H26</f>
        <v>2749.24</v>
      </c>
      <c r="G190" s="129" t="s">
        <v>211</v>
      </c>
      <c r="J190" s="132"/>
    </row>
    <row r="191" spans="1:10" s="129" customFormat="1" x14ac:dyDescent="0.5">
      <c r="D191" s="129" t="s">
        <v>55</v>
      </c>
      <c r="E191" s="138">
        <f>E187</f>
        <v>846</v>
      </c>
      <c r="G191" s="134" t="s">
        <v>209</v>
      </c>
      <c r="J191" s="132"/>
    </row>
    <row r="192" spans="1:10" s="129" customFormat="1" x14ac:dyDescent="0.5">
      <c r="D192" s="135" t="s">
        <v>45</v>
      </c>
      <c r="E192" s="139">
        <f>E190/E191</f>
        <v>3.2496926713947989</v>
      </c>
      <c r="G192" s="130" t="s">
        <v>210</v>
      </c>
      <c r="J192" s="132"/>
    </row>
    <row r="193" spans="1:10" s="129" customFormat="1" x14ac:dyDescent="0.5"/>
    <row r="194" spans="1:10" s="129" customFormat="1" x14ac:dyDescent="0.5">
      <c r="B194" s="130" t="s">
        <v>205</v>
      </c>
      <c r="E194" s="42">
        <f>Summary!H21+Summary!H23</f>
        <v>2744.06</v>
      </c>
      <c r="G194" s="129" t="s">
        <v>212</v>
      </c>
      <c r="J194" s="132"/>
    </row>
    <row r="195" spans="1:10" s="129" customFormat="1" x14ac:dyDescent="0.5">
      <c r="D195" s="129" t="s">
        <v>55</v>
      </c>
      <c r="E195" s="133">
        <f>E187</f>
        <v>846</v>
      </c>
      <c r="G195" s="134" t="s">
        <v>209</v>
      </c>
      <c r="J195" s="132"/>
    </row>
    <row r="196" spans="1:10" s="129" customFormat="1" x14ac:dyDescent="0.5">
      <c r="D196" s="135" t="s">
        <v>45</v>
      </c>
      <c r="E196" s="107">
        <f>E194/E195</f>
        <v>3.2435697399527186</v>
      </c>
      <c r="G196" s="130" t="s">
        <v>210</v>
      </c>
      <c r="J196" s="132"/>
    </row>
    <row r="197" spans="1:10" s="129" customFormat="1" x14ac:dyDescent="0.5"/>
    <row r="198" spans="1:10" s="129" customFormat="1" x14ac:dyDescent="0.5">
      <c r="B198" s="130" t="s">
        <v>39</v>
      </c>
      <c r="E198" s="42">
        <f>Summary!H28</f>
        <v>2749.24</v>
      </c>
      <c r="G198" s="129" t="s">
        <v>207</v>
      </c>
      <c r="J198" s="132"/>
    </row>
    <row r="199" spans="1:10" s="129" customFormat="1" x14ac:dyDescent="0.5">
      <c r="D199" s="129" t="s">
        <v>55</v>
      </c>
      <c r="E199" s="133">
        <f>E187</f>
        <v>846</v>
      </c>
      <c r="G199" s="134" t="s">
        <v>209</v>
      </c>
      <c r="J199" s="132"/>
    </row>
    <row r="200" spans="1:10" s="129" customFormat="1" x14ac:dyDescent="0.5">
      <c r="D200" s="135" t="s">
        <v>45</v>
      </c>
      <c r="E200" s="107">
        <f>E198/E199</f>
        <v>3.2496926713947989</v>
      </c>
      <c r="G200" s="130" t="s">
        <v>210</v>
      </c>
      <c r="J200" s="132"/>
    </row>
    <row r="201" spans="1:10" s="129" customFormat="1" x14ac:dyDescent="0.5">
      <c r="E201" s="135"/>
      <c r="F201" s="107"/>
      <c r="G201" s="130"/>
    </row>
    <row r="202" spans="1:10" s="129" customFormat="1" x14ac:dyDescent="0.5">
      <c r="E202" s="135"/>
      <c r="F202" s="107"/>
      <c r="G202" s="130"/>
    </row>
    <row r="203" spans="1:10" s="129" customFormat="1" x14ac:dyDescent="0.5">
      <c r="B203" s="130" t="s">
        <v>196</v>
      </c>
      <c r="D203" s="135"/>
      <c r="E203" s="140">
        <f>Input!F16</f>
        <v>846</v>
      </c>
      <c r="G203" s="129" t="s">
        <v>209</v>
      </c>
      <c r="J203" s="132"/>
    </row>
    <row r="204" spans="1:10" s="129" customFormat="1" x14ac:dyDescent="0.5">
      <c r="D204" s="141" t="s">
        <v>43</v>
      </c>
      <c r="E204" s="142">
        <f>Input!F17</f>
        <v>320</v>
      </c>
      <c r="G204" s="129" t="s">
        <v>214</v>
      </c>
      <c r="J204" s="132"/>
    </row>
    <row r="205" spans="1:10" s="129" customFormat="1" x14ac:dyDescent="0.5">
      <c r="D205" s="141" t="s">
        <v>45</v>
      </c>
      <c r="E205" s="131">
        <f>E203*E204/100</f>
        <v>2707.2</v>
      </c>
      <c r="G205" s="129" t="s">
        <v>215</v>
      </c>
      <c r="J205" s="132"/>
    </row>
    <row r="206" spans="1:10" s="129" customFormat="1" x14ac:dyDescent="0.5">
      <c r="D206" s="141" t="s">
        <v>84</v>
      </c>
      <c r="E206" s="42">
        <f>SUM(E166-E167)</f>
        <v>451.75999999999976</v>
      </c>
      <c r="G206" s="129" t="s">
        <v>216</v>
      </c>
      <c r="J206" s="132"/>
    </row>
    <row r="207" spans="1:10" s="129" customFormat="1" x14ac:dyDescent="0.5">
      <c r="A207" s="130" t="s">
        <v>213</v>
      </c>
      <c r="D207" s="143" t="s">
        <v>55</v>
      </c>
      <c r="E207" s="144">
        <f>Input!F12</f>
        <v>600</v>
      </c>
      <c r="G207" s="134" t="s">
        <v>217</v>
      </c>
      <c r="I207" s="134"/>
      <c r="J207" s="132"/>
    </row>
    <row r="208" spans="1:10" s="129" customFormat="1" x14ac:dyDescent="0.5">
      <c r="A208" s="130"/>
      <c r="D208" s="141" t="s">
        <v>45</v>
      </c>
      <c r="E208" s="107">
        <f>(E205-E206)/E207</f>
        <v>3.7590666666666666</v>
      </c>
      <c r="G208" s="130" t="s">
        <v>210</v>
      </c>
      <c r="J208" s="132"/>
    </row>
    <row r="209" spans="1:10" s="129" customFormat="1" x14ac:dyDescent="0.5">
      <c r="A209" s="130"/>
      <c r="E209" s="141"/>
      <c r="F209" s="131"/>
      <c r="G209" s="130"/>
    </row>
    <row r="210" spans="1:10" s="129" customFormat="1" x14ac:dyDescent="0.5">
      <c r="B210" s="130" t="s">
        <v>204</v>
      </c>
      <c r="D210" s="141"/>
      <c r="E210" s="145">
        <f>E203</f>
        <v>846</v>
      </c>
      <c r="G210" s="129" t="s">
        <v>209</v>
      </c>
      <c r="J210" s="132"/>
    </row>
    <row r="211" spans="1:10" s="129" customFormat="1" x14ac:dyDescent="0.5">
      <c r="D211" s="141" t="s">
        <v>43</v>
      </c>
      <c r="E211" s="131">
        <f>E204</f>
        <v>320</v>
      </c>
      <c r="G211" s="129" t="s">
        <v>214</v>
      </c>
      <c r="J211" s="132"/>
    </row>
    <row r="212" spans="1:10" s="129" customFormat="1" x14ac:dyDescent="0.5">
      <c r="D212" s="141" t="s">
        <v>45</v>
      </c>
      <c r="E212" s="131">
        <f>E205</f>
        <v>2707.2</v>
      </c>
      <c r="G212" s="129" t="s">
        <v>215</v>
      </c>
      <c r="J212" s="132"/>
    </row>
    <row r="213" spans="1:10" s="129" customFormat="1" x14ac:dyDescent="0.5">
      <c r="D213" s="141" t="s">
        <v>84</v>
      </c>
      <c r="E213" s="131">
        <f>SUM(E171-E172)</f>
        <v>456.9399999999996</v>
      </c>
      <c r="G213" s="129" t="s">
        <v>216</v>
      </c>
      <c r="J213" s="132"/>
    </row>
    <row r="214" spans="1:10" s="129" customFormat="1" x14ac:dyDescent="0.5">
      <c r="D214" s="143" t="s">
        <v>55</v>
      </c>
      <c r="E214" s="146">
        <f>E207</f>
        <v>600</v>
      </c>
      <c r="G214" s="134" t="s">
        <v>217</v>
      </c>
      <c r="J214" s="132"/>
    </row>
    <row r="215" spans="1:10" s="129" customFormat="1" x14ac:dyDescent="0.5">
      <c r="D215" s="141" t="s">
        <v>45</v>
      </c>
      <c r="E215" s="107">
        <f>(E212-E213)/E214</f>
        <v>3.7504333333333335</v>
      </c>
      <c r="G215" s="130" t="s">
        <v>210</v>
      </c>
      <c r="J215" s="132"/>
    </row>
    <row r="216" spans="1:10" s="129" customFormat="1" x14ac:dyDescent="0.5">
      <c r="E216" s="141"/>
      <c r="F216" s="131"/>
      <c r="G216" s="130"/>
    </row>
    <row r="217" spans="1:10" s="129" customFormat="1" x14ac:dyDescent="0.5">
      <c r="B217" s="130" t="s">
        <v>205</v>
      </c>
      <c r="E217" s="135"/>
      <c r="F217" s="140">
        <f>E203</f>
        <v>846</v>
      </c>
      <c r="G217" s="129" t="s">
        <v>209</v>
      </c>
      <c r="J217" s="132"/>
    </row>
    <row r="218" spans="1:10" s="129" customFormat="1" x14ac:dyDescent="0.5">
      <c r="D218" s="141" t="s">
        <v>43</v>
      </c>
      <c r="E218" s="142">
        <f>E204</f>
        <v>320</v>
      </c>
      <c r="G218" s="129" t="s">
        <v>214</v>
      </c>
      <c r="J218" s="132"/>
    </row>
    <row r="219" spans="1:10" s="129" customFormat="1" x14ac:dyDescent="0.5">
      <c r="D219" s="141" t="s">
        <v>45</v>
      </c>
      <c r="E219" s="131">
        <f>F217*E218/100</f>
        <v>2707.2</v>
      </c>
      <c r="G219" s="129" t="s">
        <v>215</v>
      </c>
      <c r="J219" s="132"/>
    </row>
    <row r="220" spans="1:10" s="129" customFormat="1" x14ac:dyDescent="0.5">
      <c r="D220" s="141" t="s">
        <v>84</v>
      </c>
      <c r="E220" s="42">
        <f>Summary!H24-Summary!H11</f>
        <v>451.75999999999976</v>
      </c>
      <c r="G220" s="129" t="s">
        <v>218</v>
      </c>
      <c r="J220" s="132"/>
    </row>
    <row r="221" spans="1:10" s="129" customFormat="1" x14ac:dyDescent="0.5">
      <c r="D221" s="143" t="s">
        <v>55</v>
      </c>
      <c r="E221" s="144">
        <f>E207</f>
        <v>600</v>
      </c>
      <c r="G221" s="134" t="s">
        <v>217</v>
      </c>
      <c r="J221" s="132"/>
    </row>
    <row r="222" spans="1:10" s="129" customFormat="1" x14ac:dyDescent="0.5">
      <c r="D222" s="141" t="s">
        <v>45</v>
      </c>
      <c r="E222" s="107">
        <f>(E219-E220)/E221</f>
        <v>3.7590666666666666</v>
      </c>
      <c r="G222" s="130" t="s">
        <v>210</v>
      </c>
      <c r="J222" s="132"/>
    </row>
    <row r="223" spans="1:10" s="129" customFormat="1" x14ac:dyDescent="0.5">
      <c r="E223" s="141"/>
      <c r="F223" s="107"/>
      <c r="G223" s="130"/>
    </row>
    <row r="224" spans="1:10" s="129" customFormat="1" x14ac:dyDescent="0.5">
      <c r="B224" s="130" t="s">
        <v>39</v>
      </c>
      <c r="D224" s="135"/>
      <c r="E224" s="140">
        <f>E203</f>
        <v>846</v>
      </c>
      <c r="G224" s="129" t="s">
        <v>209</v>
      </c>
      <c r="J224" s="132"/>
    </row>
    <row r="225" spans="1:17" s="129" customFormat="1" x14ac:dyDescent="0.5">
      <c r="D225" s="141" t="s">
        <v>43</v>
      </c>
      <c r="E225" s="142">
        <f>E204</f>
        <v>320</v>
      </c>
      <c r="G225" s="129" t="s">
        <v>214</v>
      </c>
      <c r="J225" s="132"/>
    </row>
    <row r="226" spans="1:17" s="129" customFormat="1" x14ac:dyDescent="0.5">
      <c r="D226" s="141" t="s">
        <v>45</v>
      </c>
      <c r="E226" s="131">
        <f>E224*E225/100</f>
        <v>2707.2</v>
      </c>
      <c r="G226" s="129" t="s">
        <v>215</v>
      </c>
      <c r="J226" s="132"/>
    </row>
    <row r="227" spans="1:17" s="129" customFormat="1" x14ac:dyDescent="0.5">
      <c r="D227" s="141" t="s">
        <v>84</v>
      </c>
      <c r="E227" s="42">
        <f>Summary!H28-Summary!H11</f>
        <v>456.9399999999996</v>
      </c>
      <c r="G227" s="129" t="s">
        <v>219</v>
      </c>
      <c r="J227" s="132"/>
    </row>
    <row r="228" spans="1:17" x14ac:dyDescent="0.5">
      <c r="A228" s="129"/>
      <c r="B228" s="129"/>
      <c r="C228" s="129"/>
      <c r="D228" s="143" t="s">
        <v>55</v>
      </c>
      <c r="E228" s="144">
        <f>E207</f>
        <v>600</v>
      </c>
      <c r="F228" s="129"/>
      <c r="G228" s="134" t="s">
        <v>217</v>
      </c>
      <c r="H228" s="129"/>
      <c r="I228" s="129"/>
      <c r="J228" s="132"/>
      <c r="K228" s="129"/>
    </row>
    <row r="229" spans="1:17" s="109" customFormat="1" ht="18" customHeight="1" x14ac:dyDescent="0.5">
      <c r="A229" s="129"/>
      <c r="B229" s="129"/>
      <c r="C229" s="129"/>
      <c r="D229" s="141" t="s">
        <v>45</v>
      </c>
      <c r="E229" s="107">
        <f>(E226-E227)/E228</f>
        <v>3.7504333333333335</v>
      </c>
      <c r="F229" s="129"/>
      <c r="G229" s="130" t="s">
        <v>210</v>
      </c>
      <c r="H229" s="129"/>
      <c r="I229" s="129"/>
      <c r="J229" s="132"/>
      <c r="K229" s="129"/>
      <c r="L229" s="159"/>
      <c r="N229" s="114"/>
      <c r="O229" s="114"/>
      <c r="P229" s="114"/>
      <c r="Q229" s="160"/>
    </row>
    <row r="230" spans="1:17" s="109" customFormat="1" ht="21" customHeight="1" x14ac:dyDescent="0.5">
      <c r="A230" s="129"/>
      <c r="B230" s="1"/>
      <c r="C230" s="1"/>
      <c r="D230" s="6"/>
      <c r="E230" s="11"/>
      <c r="F230" s="1"/>
      <c r="G230" s="6"/>
      <c r="H230" s="1"/>
      <c r="I230" s="1"/>
      <c r="J230" s="1"/>
      <c r="K230" s="129"/>
      <c r="Q230" s="160"/>
    </row>
    <row r="231" spans="1:17" s="112" customFormat="1" x14ac:dyDescent="0.5">
      <c r="A231" s="178"/>
      <c r="B231" s="179"/>
      <c r="C231" s="179"/>
      <c r="D231" s="178"/>
      <c r="E231" s="157"/>
      <c r="F231" s="108"/>
      <c r="G231" s="108"/>
      <c r="H231" s="108"/>
      <c r="I231" s="163"/>
      <c r="J231" s="108"/>
      <c r="K231" s="176"/>
      <c r="L231" s="158" t="s">
        <v>264</v>
      </c>
    </row>
    <row r="232" spans="1:17" s="114" customFormat="1" x14ac:dyDescent="0.5">
      <c r="A232" s="177"/>
      <c r="D232" s="113"/>
      <c r="E232" s="161"/>
      <c r="F232" s="162"/>
      <c r="G232" s="109"/>
      <c r="H232" s="109"/>
      <c r="I232" s="109"/>
      <c r="J232" s="109"/>
      <c r="K232" s="129"/>
    </row>
    <row r="233" spans="1:17" s="113" customFormat="1" ht="13.8" x14ac:dyDescent="0.45">
      <c r="D233" s="114"/>
      <c r="E233" s="114"/>
      <c r="G233" s="114"/>
      <c r="H233" s="114"/>
      <c r="I233" s="114"/>
    </row>
    <row r="234" spans="1:17" x14ac:dyDescent="0.5">
      <c r="A234" s="111"/>
      <c r="F234" s="110"/>
      <c r="G234" s="110"/>
      <c r="H234" s="110"/>
      <c r="J234" s="110"/>
      <c r="K234" s="109"/>
    </row>
    <row r="235" spans="1:17" x14ac:dyDescent="0.5">
      <c r="A235" s="113"/>
      <c r="F235" s="113"/>
      <c r="G235" s="113"/>
      <c r="H235" s="113"/>
      <c r="J235" s="113"/>
      <c r="K235" s="110"/>
    </row>
    <row r="236" spans="1:17" x14ac:dyDescent="0.5">
      <c r="K236" s="113"/>
    </row>
    <row r="237" spans="1:17" x14ac:dyDescent="0.5">
      <c r="K237" s="114"/>
    </row>
    <row r="238" spans="1:17" x14ac:dyDescent="0.5">
      <c r="A238" s="114"/>
      <c r="K238" s="110"/>
    </row>
    <row r="239" spans="1:17" x14ac:dyDescent="0.5">
      <c r="K239" s="113"/>
    </row>
  </sheetData>
  <mergeCells count="3">
    <mergeCell ref="B164:J164"/>
    <mergeCell ref="B2:K2"/>
    <mergeCell ref="B15:K15"/>
  </mergeCells>
  <phoneticPr fontId="12" type="noConversion"/>
  <pageMargins left="0.74803149606299213" right="0.47244094488188981" top="0.78740157480314965" bottom="0.78740157480314965" header="0.51181102362204722" footer="0.51181102362204722"/>
  <pageSetup scale="74" firstPageNumber="6" fitToHeight="4" orientation="portrait" useFirstPageNumber="1" r:id="rId1"/>
  <headerFooter scaleWithDoc="0">
    <oddHeader>&amp;LGuidleines: Beef Grassing Production Costs&amp;R&amp;P</oddHeader>
  </headerFooter>
  <rowBreaks count="1" manualBreakCount="1">
    <brk id="160" max="11" man="1"/>
  </rowBreaks>
  <ignoredErrors>
    <ignoredError sqref="E122" emptyCellReferenc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F78595-1FCE-459F-ABDA-334295FA9ADE}">
  <ds:schemaRefs>
    <ds:schemaRef ds:uri="http://schemas.microsoft.com/sharepoint/v3/contenttype/forms"/>
  </ds:schemaRefs>
</ds:datastoreItem>
</file>

<file path=customXml/itemProps2.xml><?xml version="1.0" encoding="utf-8"?>
<ds:datastoreItem xmlns:ds="http://schemas.openxmlformats.org/officeDocument/2006/customXml" ds:itemID="{E38C951A-7A64-43BF-A707-A4D2B1CE7476}">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31D26EF2-30AF-4184-BA9D-5F9D7A01B3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Summary</vt:lpstr>
      <vt:lpstr>Risk Analysis</vt:lpstr>
      <vt:lpstr>Input</vt:lpstr>
      <vt:lpstr>Details</vt:lpstr>
      <vt:lpstr>Input!Print_Area</vt:lpstr>
      <vt:lpstr>Introduction!Print_Area</vt:lpstr>
      <vt:lpstr>'Risk Analysis'!Print_Area</vt:lpstr>
      <vt:lpstr>Summary!Print_Area</vt:lpstr>
      <vt:lpst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 Beef Grassing Costs</dc:title>
  <dc:creator>Palmer, Grant (MAFRI)</dc:creator>
  <cp:lastModifiedBy>Berthelette, Crystal</cp:lastModifiedBy>
  <cp:lastPrinted>2024-07-16T14:15:10Z</cp:lastPrinted>
  <dcterms:created xsi:type="dcterms:W3CDTF">1999-02-11T22:02:46Z</dcterms:created>
  <dcterms:modified xsi:type="dcterms:W3CDTF">2024-07-16T14:27:15Z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54</vt:lpwstr>
  </property>
  <property fmtid="{D5CDD505-2E9C-101B-9397-08002B2CF9AE}" pid="3" name="ContentType">
    <vt:lpwstr>Document</vt:lpwstr>
  </property>
  <property fmtid="{D5CDD505-2E9C-101B-9397-08002B2CF9AE}" pid="4" name="Category">
    <vt:lpwstr>Programs</vt:lpwstr>
  </property>
  <property fmtid="{D5CDD505-2E9C-101B-9397-08002B2CF9AE}" pid="5" name="ContentTypeId">
    <vt:lpwstr>0x01010007C3257931C4EB4CBE667AF33D71167E</vt:lpwstr>
  </property>
</Properties>
</file>