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ME\Data\D03\Farm Management\Production Economics\COP decision support tools\2 - Forage and Livestock Calculators\2025\"/>
    </mc:Choice>
  </mc:AlternateContent>
  <xr:revisionPtr revIDLastSave="0" documentId="13_ncr:1_{16770AAA-62E2-4D25-9038-DEF0F97F6B03}" xr6:coauthVersionLast="47" xr6:coauthVersionMax="47" xr10:uidLastSave="{00000000-0000-0000-0000-000000000000}"/>
  <workbookProtection workbookAlgorithmName="SHA-512" workbookHashValue="9ZZU69f8edvxiYgLApRAMyaXlS0Rsug5TGxuQ/Qi2CxXE26zdPZCXVFB28Jm1QRt6Ucdj7ev/LWxmGyq641jCg==" workbookSaltValue="qSBvaVNzDQjuvlgHyLATuQ==" workbookSpinCount="100000" lockStructure="1"/>
  <bookViews>
    <workbookView xWindow="-108" yWindow="-108" windowWidth="23256" windowHeight="12576" xr2:uid="{00000000-000D-0000-FFFF-FFFF00000000}"/>
  </bookViews>
  <sheets>
    <sheet name="Standing Corn" sheetId="1" r:id="rId1"/>
  </sheets>
  <definedNames>
    <definedName name="_xlnm.Print_Area" localSheetId="0">'Standing Corn'!$A$1:$K$112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9" i="1" l="1"/>
  <c r="J39" i="1"/>
  <c r="F67" i="1"/>
  <c r="F63" i="1"/>
  <c r="B80" i="1"/>
  <c r="F65" i="1" l="1"/>
  <c r="B49" i="1"/>
  <c r="B72" i="1"/>
  <c r="B67" i="1"/>
  <c r="B42" i="1"/>
  <c r="B37" i="1"/>
  <c r="B28" i="1"/>
  <c r="B23" i="1"/>
  <c r="B18" i="1"/>
  <c r="B50" i="1"/>
  <c r="D58" i="1" l="1"/>
  <c r="D61" i="1" s="1"/>
  <c r="D62" i="1" s="1"/>
  <c r="D20" i="1"/>
  <c r="D22" i="1" s="1"/>
  <c r="D23" i="1" s="1"/>
  <c r="J71" i="1" s="1"/>
  <c r="F33" i="1"/>
  <c r="D34" i="1"/>
  <c r="H40" i="1" s="1"/>
  <c r="B79" i="1" l="1"/>
  <c r="D70" i="1"/>
  <c r="D71" i="1"/>
  <c r="J41" i="1"/>
  <c r="D41" i="1"/>
  <c r="F41" i="1"/>
  <c r="F71" i="1"/>
  <c r="D63" i="1" l="1"/>
  <c r="F70" i="1" s="1"/>
  <c r="D67" i="1"/>
  <c r="J70" i="1" s="1"/>
  <c r="D65" i="1" l="1"/>
  <c r="D7" i="1"/>
  <c r="D64" i="1" l="1"/>
  <c r="H70" i="1" s="1"/>
  <c r="F64" i="1"/>
  <c r="F66" i="1" s="1"/>
  <c r="I18" i="1"/>
  <c r="I14" i="1"/>
  <c r="I21" i="1"/>
  <c r="I17" i="1"/>
  <c r="I20" i="1"/>
  <c r="I16" i="1"/>
  <c r="I19" i="1"/>
  <c r="I15" i="1"/>
  <c r="D9" i="1"/>
  <c r="F9" i="1" s="1"/>
  <c r="D33" i="1"/>
  <c r="D35" i="1" s="1"/>
  <c r="D21" i="1"/>
  <c r="D66" i="1" l="1"/>
  <c r="H71" i="1"/>
  <c r="H41" i="1"/>
  <c r="D36" i="1"/>
  <c r="F40" i="1"/>
  <c r="E87" i="1"/>
  <c r="D88" i="1"/>
  <c r="B89" i="1"/>
  <c r="B90" i="1" s="1"/>
  <c r="D37" i="1" l="1"/>
  <c r="J40" i="1" s="1"/>
  <c r="D40" i="1"/>
  <c r="D89" i="1"/>
  <c r="B91" i="1"/>
  <c r="E91" i="1" s="1"/>
  <c r="D90" i="1"/>
  <c r="E88" i="1"/>
  <c r="E89" i="1"/>
  <c r="F87" i="1"/>
  <c r="E90" i="1"/>
  <c r="B92" i="1" l="1"/>
  <c r="F92" i="1" s="1"/>
  <c r="D91" i="1"/>
  <c r="F91" i="1"/>
  <c r="G87" i="1"/>
  <c r="F90" i="1"/>
  <c r="F89" i="1"/>
  <c r="F88" i="1"/>
  <c r="B93" i="1" l="1"/>
  <c r="D92" i="1"/>
  <c r="E92" i="1"/>
  <c r="H87" i="1"/>
  <c r="G93" i="1"/>
  <c r="G89" i="1"/>
  <c r="G90" i="1"/>
  <c r="G91" i="1"/>
  <c r="G88" i="1"/>
  <c r="G92" i="1"/>
  <c r="B94" i="1" l="1"/>
  <c r="H94" i="1" s="1"/>
  <c r="D93" i="1"/>
  <c r="E93" i="1"/>
  <c r="F93" i="1"/>
  <c r="I87" i="1"/>
  <c r="H90" i="1"/>
  <c r="H91" i="1"/>
  <c r="H92" i="1"/>
  <c r="H88" i="1"/>
  <c r="H93" i="1"/>
  <c r="H89" i="1"/>
  <c r="B95" i="1" l="1"/>
  <c r="D94" i="1"/>
  <c r="E94" i="1"/>
  <c r="F94" i="1"/>
  <c r="G94" i="1"/>
  <c r="I91" i="1"/>
  <c r="I92" i="1"/>
  <c r="I88" i="1"/>
  <c r="I93" i="1"/>
  <c r="I89" i="1"/>
  <c r="I94" i="1"/>
  <c r="I90" i="1"/>
  <c r="D95" i="1" l="1"/>
  <c r="E95" i="1"/>
  <c r="F95" i="1"/>
  <c r="G95" i="1"/>
  <c r="H95" i="1"/>
  <c r="I95" i="1"/>
  <c r="D17" i="1" l="1"/>
  <c r="F8" i="1"/>
  <c r="E16" i="1" l="1"/>
  <c r="D18" i="1"/>
  <c r="D28" i="1" l="1"/>
  <c r="J72" i="1" s="1"/>
  <c r="J73" i="1" s="1"/>
  <c r="D25" i="1"/>
  <c r="J42" i="1" l="1"/>
  <c r="J43" i="1" s="1"/>
  <c r="F72" i="1"/>
  <c r="F73" i="1" s="1"/>
  <c r="G78" i="1" s="1"/>
  <c r="F42" i="1"/>
  <c r="F43" i="1" s="1"/>
  <c r="F44" i="1" s="1"/>
  <c r="D26" i="1"/>
  <c r="D27" i="1"/>
  <c r="J78" i="1" l="1"/>
  <c r="I78" i="1"/>
  <c r="E78" i="1"/>
  <c r="F78" i="1"/>
  <c r="D78" i="1"/>
  <c r="H78" i="1"/>
  <c r="F74" i="1"/>
  <c r="D72" i="1"/>
  <c r="D73" i="1" s="1"/>
  <c r="D42" i="1"/>
  <c r="D43" i="1" s="1"/>
  <c r="H72" i="1"/>
  <c r="H73" i="1" s="1"/>
  <c r="H74" i="1" s="1"/>
  <c r="H42" i="1"/>
  <c r="H43" i="1" s="1"/>
  <c r="H44" i="1" s="1"/>
  <c r="G48" i="1"/>
  <c r="J79" i="1" l="1"/>
  <c r="J80" i="1"/>
  <c r="I79" i="1"/>
  <c r="I80" i="1"/>
  <c r="F80" i="1"/>
  <c r="F79" i="1"/>
  <c r="E80" i="1"/>
  <c r="E79" i="1"/>
  <c r="H79" i="1"/>
  <c r="H80" i="1"/>
  <c r="D80" i="1"/>
  <c r="D79" i="1"/>
  <c r="G80" i="1"/>
  <c r="G79" i="1"/>
  <c r="G49" i="1"/>
  <c r="G50" i="1"/>
  <c r="J48" i="1"/>
  <c r="E48" i="1"/>
  <c r="I48" i="1"/>
  <c r="D48" i="1"/>
  <c r="H48" i="1"/>
  <c r="F48" i="1"/>
  <c r="J3" i="1"/>
  <c r="I50" i="1" l="1"/>
  <c r="I49" i="1"/>
  <c r="F49" i="1"/>
  <c r="F50" i="1"/>
  <c r="E49" i="1"/>
  <c r="E50" i="1"/>
  <c r="D50" i="1"/>
  <c r="D49" i="1"/>
  <c r="H50" i="1"/>
  <c r="H49" i="1"/>
  <c r="J49" i="1"/>
  <c r="J50" i="1"/>
</calcChain>
</file>

<file path=xl/sharedStrings.xml><?xml version="1.0" encoding="utf-8"?>
<sst xmlns="http://schemas.openxmlformats.org/spreadsheetml/2006/main" count="177" uniqueCount="135">
  <si>
    <t>Printed:</t>
  </si>
  <si>
    <t>. . . . . . . . . . . . . . . . . . . . . . . . . . . . . . . . . . . . . . . . . . . . . . . . . . . . . . . . . . . . . .</t>
  </si>
  <si>
    <t>Total</t>
  </si>
  <si>
    <t>Freight Cost ($/loaded mile)</t>
  </si>
  <si>
    <t>Miles hauled</t>
  </si>
  <si>
    <t>Price/Ton
(as fed)</t>
  </si>
  <si>
    <t>As fed pounds per load</t>
  </si>
  <si>
    <r>
      <t xml:space="preserve">*** Enter changes to </t>
    </r>
    <r>
      <rPr>
        <b/>
        <sz val="10"/>
        <color indexed="12"/>
        <rFont val="Arial"/>
        <family val="2"/>
      </rPr>
      <t>BLUE</t>
    </r>
    <r>
      <rPr>
        <b/>
        <sz val="10"/>
        <color indexed="48"/>
        <rFont val="Arial"/>
        <family val="2"/>
      </rPr>
      <t xml:space="preserve"> </t>
    </r>
    <r>
      <rPr>
        <b/>
        <sz val="10"/>
        <rFont val="Arial"/>
        <family val="2"/>
      </rPr>
      <t>values only ***</t>
    </r>
  </si>
  <si>
    <t>*Variable due to quality and nitrate issues and does not represent average values.</t>
  </si>
  <si>
    <t xml:space="preserve">Decision Cost Calculator - Buying Standing Corn  </t>
  </si>
  <si>
    <t xml:space="preserve">Corn Purchased (total acres) </t>
  </si>
  <si>
    <t xml:space="preserve">Packing and Plastic Cost ($ per ton) </t>
  </si>
  <si>
    <t xml:space="preserve">Freight - Tons per load </t>
  </si>
  <si>
    <t>Livestock Producer's Cost to put up Corn Silage</t>
  </si>
  <si>
    <t>Payment to Grain Producer for Standing Corn</t>
  </si>
  <si>
    <t xml:space="preserve">(harvest cost will vary depending on distance, work rate and yield - see note below) </t>
  </si>
  <si>
    <t>Custom Rate ($/hour)</t>
  </si>
  <si>
    <t>(tons/hr)</t>
  </si>
  <si>
    <t>Work Rate (tons/hr) increment</t>
  </si>
  <si>
    <t>Custom Rate ($/hr) increment</t>
  </si>
  <si>
    <t>Price / Acre</t>
  </si>
  <si>
    <t>Work Rate</t>
  </si>
  <si>
    <t>Silage Harvest/Chopping Cost ($ per ton)</t>
  </si>
  <si>
    <t>Price/Ton (DM)</t>
  </si>
  <si>
    <r>
      <rPr>
        <b/>
        <u/>
        <sz val="12"/>
        <color theme="0"/>
        <rFont val="Arial"/>
        <family val="2"/>
      </rPr>
      <t>Note</t>
    </r>
    <r>
      <rPr>
        <b/>
        <sz val="12"/>
        <color theme="0"/>
        <rFont val="Arial"/>
        <family val="2"/>
      </rPr>
      <t>: Custom Silage Harvest Cost ($/Ton) - calculated from Work Rate and Custom Rate Per Hour</t>
    </r>
  </si>
  <si>
    <t>For more information:</t>
  </si>
  <si>
    <t>Total Corn Silage Cost per Ton
(as fed)</t>
  </si>
  <si>
    <t>Change in Corn Silage Cost/ton</t>
  </si>
  <si>
    <t>Breakeven</t>
  </si>
  <si>
    <t>A.</t>
  </si>
  <si>
    <t>B.</t>
  </si>
  <si>
    <t>C.</t>
  </si>
  <si>
    <t>percent</t>
  </si>
  <si>
    <t>Corn silage as fed moisture content</t>
  </si>
  <si>
    <t>Corn silage dry matter content (1-B)</t>
  </si>
  <si>
    <t>D.</t>
  </si>
  <si>
    <t>E.</t>
  </si>
  <si>
    <t>tons/acre</t>
  </si>
  <si>
    <t>Estimated corn silage yield, wet basis</t>
  </si>
  <si>
    <t xml:space="preserve">Estimated corn silage yield, dry basis (CxD) </t>
  </si>
  <si>
    <t>F.</t>
  </si>
  <si>
    <t>G.</t>
  </si>
  <si>
    <t>H.</t>
  </si>
  <si>
    <t>I.</t>
  </si>
  <si>
    <t>J.</t>
  </si>
  <si>
    <t>K.</t>
  </si>
  <si>
    <t>L.</t>
  </si>
  <si>
    <t>Silage Price standing in field*, dry basis</t>
  </si>
  <si>
    <t>¢/pound</t>
  </si>
  <si>
    <t>M.</t>
  </si>
  <si>
    <t>$/ton</t>
  </si>
  <si>
    <t>N.</t>
  </si>
  <si>
    <t>$/acre</t>
  </si>
  <si>
    <t>O.</t>
  </si>
  <si>
    <t>P.</t>
  </si>
  <si>
    <t>Q.</t>
  </si>
  <si>
    <t>R.</t>
  </si>
  <si>
    <t>Custom Silage Harvest Cost, wet basis (F+G)</t>
  </si>
  <si>
    <t>S.</t>
  </si>
  <si>
    <t>T.</t>
  </si>
  <si>
    <t>U.</t>
  </si>
  <si>
    <t>V.</t>
  </si>
  <si>
    <t>Freight Cost, wet basis ((HxIxL)÷(AxD))</t>
  </si>
  <si>
    <t>X.</t>
  </si>
  <si>
    <t>Y.</t>
  </si>
  <si>
    <t>Z.</t>
  </si>
  <si>
    <t>AA.</t>
  </si>
  <si>
    <t>Custom Silage Harvest Cost (DxM)</t>
  </si>
  <si>
    <t>Custom Silage Harvest Cost, dry basis (M÷C)</t>
  </si>
  <si>
    <t>Freight Cost, dry basis (Q÷C)</t>
  </si>
  <si>
    <t>Freight Cost (DxQ)</t>
  </si>
  <si>
    <t>W.</t>
  </si>
  <si>
    <t>Silage Price standing in field, wet basis (C÷1xU)</t>
  </si>
  <si>
    <t>Silage Price standing in field, wet basis (V÷100x2000)</t>
  </si>
  <si>
    <t>Value of standing crop (DxX)</t>
  </si>
  <si>
    <t>Table 1. Relationship of grain and silage yields</t>
  </si>
  <si>
    <t>Estimated Grain Yield</t>
  </si>
  <si>
    <t>Estimated Silage Yield</t>
  </si>
  <si>
    <t>wet-basis</t>
  </si>
  <si>
    <t>dry matter basis</t>
  </si>
  <si>
    <t>bushels/acre</t>
  </si>
  <si>
    <t>$/bushel</t>
  </si>
  <si>
    <t>Price of grain corn</t>
  </si>
  <si>
    <t>Less: Corn combining/harvest cost</t>
  </si>
  <si>
    <t>Less: Drying cost</t>
  </si>
  <si>
    <t>Less: Hauling cost</t>
  </si>
  <si>
    <t>Silage Price standing in field, dry basis (U÷100x2000)</t>
  </si>
  <si>
    <t>AB.</t>
  </si>
  <si>
    <t>AC.</t>
  </si>
  <si>
    <t>AD.</t>
  </si>
  <si>
    <t>AE.</t>
  </si>
  <si>
    <t>AF.</t>
  </si>
  <si>
    <t>AG.</t>
  </si>
  <si>
    <t>AH.</t>
  </si>
  <si>
    <t>AI.</t>
  </si>
  <si>
    <t>AK.</t>
  </si>
  <si>
    <t>AL.</t>
  </si>
  <si>
    <t>Option #1 - Buying Standing Corn based on Standing Price</t>
  </si>
  <si>
    <t>Option #2 - Buying Standing Corn based on Grain Yield and Price</t>
  </si>
  <si>
    <t>Breakeven corn grain price (AB-AC-AD-AE)</t>
  </si>
  <si>
    <t>Value of standing crop (AAxAF)</t>
  </si>
  <si>
    <t>Silage price standing in field, dry basis (AH/C)</t>
  </si>
  <si>
    <t>Silage price standing in field, wet basis (AH/2000x100)</t>
  </si>
  <si>
    <t>Silage price standing in field, dry basis (AI/2000x100)</t>
  </si>
  <si>
    <t>AJ.</t>
  </si>
  <si>
    <t>Version 3.0</t>
  </si>
  <si>
    <t>Estimated grain yield*</t>
  </si>
  <si>
    <t>(Y.)</t>
  </si>
  <si>
    <t>(O.)</t>
  </si>
  <si>
    <t>(S.)</t>
  </si>
  <si>
    <t>(X.)</t>
  </si>
  <si>
    <t>(M.)</t>
  </si>
  <si>
    <t>(Q.)</t>
  </si>
  <si>
    <t>(W.)</t>
  </si>
  <si>
    <t>(N.)</t>
  </si>
  <si>
    <t>(R.)</t>
  </si>
  <si>
    <t>(Z.)</t>
  </si>
  <si>
    <t>(P.)</t>
  </si>
  <si>
    <t>(T.)</t>
  </si>
  <si>
    <t>(AG.)</t>
  </si>
  <si>
    <t>(AH.)</t>
  </si>
  <si>
    <t>(AI.)</t>
  </si>
  <si>
    <t>(AL.)</t>
  </si>
  <si>
    <t>Option #1 - Breakeven Distance or Standing Cost</t>
  </si>
  <si>
    <t>Option #2 - Breakeven Distance or Value of Standing Crop</t>
  </si>
  <si>
    <t>Silage price standing in field, wet basis (AG/D)</t>
  </si>
  <si>
    <r>
      <t xml:space="preserve">bushels/acre  </t>
    </r>
    <r>
      <rPr>
        <b/>
        <sz val="9"/>
        <rFont val="Arial"/>
        <family val="2"/>
      </rPr>
      <t>*See Table 1 above</t>
    </r>
  </si>
  <si>
    <r>
      <t>$/acre</t>
    </r>
    <r>
      <rPr>
        <sz val="9"/>
        <rFont val="Arial"/>
        <family val="2"/>
      </rPr>
      <t xml:space="preserve">  </t>
    </r>
    <r>
      <rPr>
        <sz val="8"/>
        <rFont val="Arial"/>
        <family val="2"/>
      </rPr>
      <t>(enter value here to override yield &amp; price calculation)</t>
    </r>
  </si>
  <si>
    <r>
      <t xml:space="preserve">$/acre </t>
    </r>
    <r>
      <rPr>
        <sz val="12"/>
        <rFont val="Arial"/>
        <family val="2"/>
      </rPr>
      <t xml:space="preserve"> </t>
    </r>
    <r>
      <rPr>
        <b/>
        <u/>
        <sz val="12"/>
        <rFont val="Arial"/>
        <family val="2"/>
      </rPr>
      <t>OR</t>
    </r>
  </si>
  <si>
    <t>Source: Lauer and Undersander (2004)</t>
  </si>
  <si>
    <r>
      <rPr>
        <b/>
        <sz val="10"/>
        <rFont val="Arial"/>
        <family val="2"/>
      </rPr>
      <t xml:space="preserve">Note: </t>
    </r>
    <r>
      <rPr>
        <sz val="10"/>
        <rFont val="Arial"/>
        <family val="2"/>
      </rPr>
      <t>This budget is only a guide and is not intended as an in-depth study of livestock feed values. Standing corn cost (cents/lb DM) is based on the Cost of Production Silage Bulletin and is not intended to represent the current market value.  Interpretation and use of this information is the responsibility of the user.  If you need help with a budget, contact a Farm Management Specialist.</t>
    </r>
  </si>
  <si>
    <t>September, 2024</t>
  </si>
  <si>
    <t>The Farm Machinery Custom and Rental Rate Guide Calculator</t>
  </si>
  <si>
    <t xml:space="preserve">Silage Cost of Production </t>
  </si>
  <si>
    <t>Pricing Corn Silage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</si>
</sst>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quot;$&quot;#,##0.00"/>
    <numFmt numFmtId="165" formatCode="&quot;$&quot;#,##0"/>
    <numFmt numFmtId="166" formatCode="&quot;$&quot;#,##0.0000"/>
    <numFmt numFmtId="167" formatCode="&quot;$&quot;#,##0.00_);[Red]\(&quot;$&quot;#,##0.00\)"/>
  </numFmts>
  <fonts count="40" x14ac:knownFonts="1">
    <font>
      <sz val="11"/>
      <color theme="1"/>
      <name val="Calibri"/>
      <family val="2"/>
      <scheme val="minor"/>
    </font>
    <font>
      <sz val="12"/>
      <name val="Arial"/>
      <family val="2"/>
    </font>
    <font>
      <sz val="10"/>
      <name val="Arial"/>
      <family val="2"/>
    </font>
    <font>
      <b/>
      <sz val="10"/>
      <name val="Arial"/>
      <family val="2"/>
    </font>
    <font>
      <b/>
      <sz val="10"/>
      <color theme="1"/>
      <name val="Arial"/>
      <family val="2"/>
    </font>
    <font>
      <b/>
      <sz val="11"/>
      <color theme="1"/>
      <name val="Arial"/>
      <family val="2"/>
    </font>
    <font>
      <u/>
      <sz val="10"/>
      <color theme="10"/>
      <name val="Arial"/>
      <family val="2"/>
    </font>
    <font>
      <b/>
      <u/>
      <sz val="10"/>
      <color theme="10"/>
      <name val="Arial"/>
      <family val="2"/>
    </font>
    <font>
      <sz val="11"/>
      <name val="Arial"/>
      <family val="2"/>
    </font>
    <font>
      <sz val="11"/>
      <color theme="1"/>
      <name val="Arial"/>
      <family val="2"/>
    </font>
    <font>
      <sz val="22"/>
      <color theme="1"/>
      <name val="Arial"/>
      <family val="2"/>
    </font>
    <font>
      <b/>
      <sz val="18"/>
      <color theme="0"/>
      <name val="Arial"/>
      <family val="2"/>
    </font>
    <font>
      <sz val="11"/>
      <color theme="0"/>
      <name val="Arial"/>
      <family val="2"/>
    </font>
    <font>
      <sz val="10"/>
      <color theme="0"/>
      <name val="Arial"/>
      <family val="2"/>
    </font>
    <font>
      <sz val="9"/>
      <color theme="0"/>
      <name val="Arial"/>
      <family val="2"/>
    </font>
    <font>
      <b/>
      <u/>
      <sz val="10"/>
      <color rgb="FF0000FF"/>
      <name val="Arial"/>
      <family val="2"/>
    </font>
    <font>
      <b/>
      <sz val="12"/>
      <color theme="0"/>
      <name val="Arial"/>
      <family val="2"/>
    </font>
    <font>
      <sz val="12"/>
      <color theme="0"/>
      <name val="Arial"/>
      <family val="2"/>
    </font>
    <font>
      <sz val="11"/>
      <color theme="1"/>
      <name val="Calibri"/>
      <family val="2"/>
      <scheme val="minor"/>
    </font>
    <font>
      <sz val="9"/>
      <color theme="1"/>
      <name val="Arial"/>
      <family val="2"/>
    </font>
    <font>
      <b/>
      <sz val="11"/>
      <color rgb="FF0000FF"/>
      <name val="Arial"/>
      <family val="2"/>
    </font>
    <font>
      <sz val="10"/>
      <color theme="1"/>
      <name val="Arial"/>
      <family val="2"/>
    </font>
    <font>
      <u/>
      <sz val="11"/>
      <color theme="1"/>
      <name val="Arial"/>
      <family val="2"/>
    </font>
    <font>
      <b/>
      <sz val="10"/>
      <color indexed="12"/>
      <name val="Arial"/>
      <family val="2"/>
    </font>
    <font>
      <b/>
      <sz val="10"/>
      <color indexed="48"/>
      <name val="Arial"/>
      <family val="2"/>
    </font>
    <font>
      <sz val="14"/>
      <name val="Arial"/>
      <family val="2"/>
    </font>
    <font>
      <b/>
      <sz val="11"/>
      <name val="Arial"/>
      <family val="2"/>
    </font>
    <font>
      <b/>
      <u/>
      <sz val="12"/>
      <color theme="0"/>
      <name val="Arial"/>
      <family val="2"/>
    </font>
    <font>
      <u/>
      <sz val="10"/>
      <color rgb="FF0000FF"/>
      <name val="Arial"/>
      <family val="2"/>
    </font>
    <font>
      <sz val="11"/>
      <color rgb="FF0000FF"/>
      <name val="Arial"/>
      <family val="2"/>
    </font>
    <font>
      <sz val="12"/>
      <color rgb="FF0000FF"/>
      <name val="Arial"/>
      <family val="2"/>
    </font>
    <font>
      <sz val="14"/>
      <color rgb="FF0000FF"/>
      <name val="Arial"/>
      <family val="2"/>
    </font>
    <font>
      <b/>
      <sz val="10"/>
      <color theme="0"/>
      <name val="Arial"/>
      <family val="2"/>
    </font>
    <font>
      <u/>
      <sz val="9"/>
      <name val="Arial"/>
      <family val="2"/>
    </font>
    <font>
      <sz val="8"/>
      <color theme="1"/>
      <name val="Arial"/>
      <family val="2"/>
    </font>
    <font>
      <b/>
      <sz val="12"/>
      <name val="Arial"/>
      <family val="2"/>
    </font>
    <font>
      <sz val="9"/>
      <name val="Arial"/>
      <family val="2"/>
    </font>
    <font>
      <b/>
      <sz val="9"/>
      <name val="Arial"/>
      <family val="2"/>
    </font>
    <font>
      <sz val="8"/>
      <name val="Arial"/>
      <family val="2"/>
    </font>
    <font>
      <b/>
      <u/>
      <sz val="12"/>
      <name val="Arial"/>
      <family val="2"/>
    </font>
  </fonts>
  <fills count="6">
    <fill>
      <patternFill patternType="none"/>
    </fill>
    <fill>
      <patternFill patternType="gray125"/>
    </fill>
    <fill>
      <patternFill patternType="solid">
        <fgColor rgb="FF427730"/>
        <bgColor indexed="64"/>
      </patternFill>
    </fill>
    <fill>
      <patternFill patternType="solid">
        <fgColor theme="0" tint="-0.14996795556505021"/>
        <bgColor indexed="64"/>
      </patternFill>
    </fill>
    <fill>
      <patternFill patternType="solid">
        <fgColor theme="3"/>
        <bgColor indexed="64"/>
      </patternFill>
    </fill>
    <fill>
      <patternFill patternType="solid">
        <fgColor theme="0" tint="-0.14999847407452621"/>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s>
  <cellStyleXfs count="6">
    <xf numFmtId="0" fontId="0" fillId="0" borderId="0"/>
    <xf numFmtId="164" fontId="1" fillId="0" borderId="0">
      <alignment vertical="top"/>
    </xf>
    <xf numFmtId="0" fontId="6" fillId="0" borderId="0" applyNumberFormat="0" applyFill="0" applyBorder="0" applyAlignment="0" applyProtection="0">
      <alignment vertical="top"/>
      <protection locked="0"/>
    </xf>
    <xf numFmtId="43" fontId="18" fillId="0" borderId="0" applyFont="0" applyFill="0" applyBorder="0" applyAlignment="0" applyProtection="0"/>
    <xf numFmtId="0" fontId="2" fillId="0" borderId="0">
      <alignment vertical="top"/>
    </xf>
    <xf numFmtId="44" fontId="18" fillId="0" borderId="0" applyFont="0" applyFill="0" applyBorder="0" applyAlignment="0" applyProtection="0"/>
  </cellStyleXfs>
  <cellXfs count="169">
    <xf numFmtId="0" fontId="0" fillId="0" borderId="0" xfId="0"/>
    <xf numFmtId="0" fontId="4" fillId="0" borderId="1" xfId="0" applyFont="1" applyBorder="1"/>
    <xf numFmtId="17" fontId="5" fillId="0" borderId="1" xfId="0" applyNumberFormat="1" applyFont="1" applyBorder="1" applyAlignment="1">
      <alignment horizontal="right"/>
    </xf>
    <xf numFmtId="0" fontId="4" fillId="0" borderId="0" xfId="0" applyFont="1" applyAlignment="1">
      <alignment horizontal="left" vertical="center"/>
    </xf>
    <xf numFmtId="164" fontId="7" fillId="0" borderId="0" xfId="2" applyNumberFormat="1" applyFont="1" applyFill="1" applyProtection="1">
      <alignment vertical="top"/>
    </xf>
    <xf numFmtId="164" fontId="8" fillId="0" borderId="0" xfId="1" applyFont="1">
      <alignment vertical="top"/>
    </xf>
    <xf numFmtId="164" fontId="2" fillId="0" borderId="0" xfId="1" applyFont="1">
      <alignment vertical="top"/>
    </xf>
    <xf numFmtId="0" fontId="2" fillId="0" borderId="0" xfId="0" applyFont="1"/>
    <xf numFmtId="0" fontId="9" fillId="0" borderId="0" xfId="0" applyFont="1"/>
    <xf numFmtId="0" fontId="9" fillId="0" borderId="0" xfId="0" applyFont="1" applyAlignment="1">
      <alignment horizontal="center"/>
    </xf>
    <xf numFmtId="0" fontId="10" fillId="0" borderId="0" xfId="0" applyFont="1"/>
    <xf numFmtId="0" fontId="11" fillId="2" borderId="0" xfId="0" applyFont="1" applyFill="1"/>
    <xf numFmtId="0" fontId="12" fillId="2" borderId="0" xfId="0" applyFont="1" applyFill="1"/>
    <xf numFmtId="0" fontId="12" fillId="2" borderId="0" xfId="0" applyFont="1" applyFill="1" applyAlignment="1">
      <alignment horizontal="center"/>
    </xf>
    <xf numFmtId="0" fontId="13" fillId="2" borderId="0" xfId="0" applyFont="1" applyFill="1"/>
    <xf numFmtId="0" fontId="14" fillId="2" borderId="0" xfId="0" applyFont="1" applyFill="1" applyAlignment="1">
      <alignment horizontal="right" vertical="center"/>
    </xf>
    <xf numFmtId="164" fontId="15" fillId="0" borderId="0" xfId="2" applyNumberFormat="1" applyFont="1" applyBorder="1" applyProtection="1">
      <alignment vertical="top"/>
    </xf>
    <xf numFmtId="0" fontId="15" fillId="0" borderId="0" xfId="2" applyFont="1" applyProtection="1">
      <alignment vertical="top"/>
    </xf>
    <xf numFmtId="0" fontId="17" fillId="2" borderId="0" xfId="0" applyFont="1" applyFill="1"/>
    <xf numFmtId="0" fontId="16" fillId="2" borderId="0" xfId="0" applyFont="1" applyFill="1" applyAlignment="1">
      <alignment horizontal="center"/>
    </xf>
    <xf numFmtId="0" fontId="16" fillId="2" borderId="0" xfId="0" applyFont="1" applyFill="1" applyAlignment="1">
      <alignment vertical="center"/>
    </xf>
    <xf numFmtId="165" fontId="17" fillId="2" borderId="0" xfId="0" applyNumberFormat="1" applyFont="1" applyFill="1"/>
    <xf numFmtId="0" fontId="20" fillId="0" borderId="0" xfId="0" applyFont="1" applyProtection="1">
      <protection locked="0"/>
    </xf>
    <xf numFmtId="165" fontId="20" fillId="0" borderId="0" xfId="0" applyNumberFormat="1" applyFont="1" applyProtection="1">
      <protection locked="0"/>
    </xf>
    <xf numFmtId="164" fontId="20" fillId="0" borderId="0" xfId="0" applyNumberFormat="1" applyFont="1" applyProtection="1">
      <protection locked="0"/>
    </xf>
    <xf numFmtId="0" fontId="5" fillId="0" borderId="0" xfId="0" applyFont="1"/>
    <xf numFmtId="0" fontId="3" fillId="0" borderId="0" xfId="0" applyFont="1"/>
    <xf numFmtId="0" fontId="2" fillId="0" borderId="0" xfId="4" applyAlignment="1">
      <alignment horizontal="left"/>
    </xf>
    <xf numFmtId="0" fontId="1" fillId="0" borderId="0" xfId="4" applyFont="1" applyAlignment="1"/>
    <xf numFmtId="0" fontId="2" fillId="0" borderId="0" xfId="4" applyAlignment="1">
      <alignment horizontal="center"/>
    </xf>
    <xf numFmtId="0" fontId="2" fillId="0" borderId="0" xfId="0" applyFont="1" applyAlignment="1">
      <alignment horizontal="right"/>
    </xf>
    <xf numFmtId="0" fontId="1" fillId="0" borderId="0" xfId="0" applyFont="1"/>
    <xf numFmtId="0" fontId="25" fillId="0" borderId="0" xfId="0" applyFont="1"/>
    <xf numFmtId="0" fontId="8" fillId="0" borderId="0" xfId="0" applyFont="1"/>
    <xf numFmtId="165" fontId="20" fillId="0" borderId="6" xfId="0" applyNumberFormat="1" applyFont="1" applyBorder="1" applyAlignment="1" applyProtection="1">
      <alignment horizontal="center"/>
      <protection locked="0"/>
    </xf>
    <xf numFmtId="165" fontId="26" fillId="0" borderId="7" xfId="0" applyNumberFormat="1" applyFont="1" applyBorder="1" applyAlignment="1">
      <alignment horizontal="center"/>
    </xf>
    <xf numFmtId="165" fontId="26" fillId="0" borderId="8" xfId="0" applyNumberFormat="1" applyFont="1" applyBorder="1" applyAlignment="1">
      <alignment horizontal="center"/>
    </xf>
    <xf numFmtId="165" fontId="8" fillId="0" borderId="0" xfId="0" applyNumberFormat="1" applyFont="1" applyAlignment="1">
      <alignment horizontal="center"/>
    </xf>
    <xf numFmtId="165" fontId="8" fillId="0" borderId="9" xfId="0" applyNumberFormat="1" applyFont="1" applyBorder="1" applyAlignment="1">
      <alignment horizontal="center"/>
    </xf>
    <xf numFmtId="0" fontId="26" fillId="0" borderId="0" xfId="0" applyFont="1" applyAlignment="1">
      <alignment horizontal="center"/>
    </xf>
    <xf numFmtId="165" fontId="20" fillId="0" borderId="0" xfId="0" applyNumberFormat="1" applyFont="1" applyAlignment="1" applyProtection="1">
      <alignment horizontal="right"/>
      <protection locked="0"/>
    </xf>
    <xf numFmtId="0" fontId="26" fillId="0" borderId="0" xfId="0" applyFont="1"/>
    <xf numFmtId="165" fontId="8" fillId="0" borderId="1" xfId="0" applyNumberFormat="1" applyFont="1" applyBorder="1" applyAlignment="1">
      <alignment horizontal="center"/>
    </xf>
    <xf numFmtId="165" fontId="8" fillId="0" borderId="4" xfId="0" applyNumberFormat="1" applyFont="1" applyBorder="1" applyAlignment="1">
      <alignment horizontal="center"/>
    </xf>
    <xf numFmtId="0" fontId="19" fillId="0" borderId="0" xfId="0" applyFont="1" applyAlignment="1">
      <alignment horizontal="left"/>
    </xf>
    <xf numFmtId="0" fontId="21" fillId="0" borderId="0" xfId="0" applyFont="1"/>
    <xf numFmtId="164" fontId="20" fillId="0" borderId="0" xfId="0" applyNumberFormat="1" applyFont="1"/>
    <xf numFmtId="0" fontId="5" fillId="0" borderId="1" xfId="0" applyFont="1" applyBorder="1" applyAlignment="1">
      <alignment horizontal="center" wrapText="1"/>
    </xf>
    <xf numFmtId="165" fontId="9" fillId="0" borderId="0" xfId="0" applyNumberFormat="1" applyFont="1"/>
    <xf numFmtId="165" fontId="22" fillId="0" borderId="0" xfId="0" applyNumberFormat="1" applyFont="1"/>
    <xf numFmtId="0" fontId="5" fillId="0" borderId="0" xfId="0" applyFont="1" applyAlignment="1">
      <alignment horizontal="right"/>
    </xf>
    <xf numFmtId="165" fontId="5" fillId="0" borderId="0" xfId="0" applyNumberFormat="1" applyFont="1"/>
    <xf numFmtId="2" fontId="5" fillId="0" borderId="0" xfId="0" applyNumberFormat="1" applyFont="1"/>
    <xf numFmtId="1" fontId="5" fillId="0" borderId="0" xfId="0" applyNumberFormat="1" applyFont="1"/>
    <xf numFmtId="166" fontId="19" fillId="0" borderId="0" xfId="0" applyNumberFormat="1" applyFont="1" applyAlignment="1">
      <alignment horizontal="center"/>
    </xf>
    <xf numFmtId="0" fontId="26" fillId="0" borderId="0" xfId="0" applyFont="1" applyAlignment="1">
      <alignment horizontal="left"/>
    </xf>
    <xf numFmtId="0" fontId="28" fillId="0" borderId="0" xfId="2" applyFont="1" applyAlignment="1" applyProtection="1">
      <alignment horizontal="left" indent="1"/>
    </xf>
    <xf numFmtId="0" fontId="29" fillId="0" borderId="0" xfId="0" applyFont="1"/>
    <xf numFmtId="0" fontId="30" fillId="0" borderId="0" xfId="0" applyFont="1"/>
    <xf numFmtId="0" fontId="31" fillId="0" borderId="0" xfId="0" applyFont="1"/>
    <xf numFmtId="165" fontId="20" fillId="0" borderId="0" xfId="0" applyNumberFormat="1" applyFont="1" applyAlignment="1" applyProtection="1">
      <alignment horizontal="center"/>
      <protection locked="0"/>
    </xf>
    <xf numFmtId="165" fontId="5" fillId="0" borderId="6" xfId="0" applyNumberFormat="1" applyFont="1" applyBorder="1" applyAlignment="1">
      <alignment horizontal="center"/>
    </xf>
    <xf numFmtId="165" fontId="5" fillId="0" borderId="7" xfId="0" applyNumberFormat="1" applyFont="1" applyBorder="1" applyAlignment="1">
      <alignment horizontal="center"/>
    </xf>
    <xf numFmtId="165" fontId="5" fillId="0" borderId="8" xfId="0" applyNumberFormat="1" applyFont="1" applyBorder="1" applyAlignment="1">
      <alignment horizontal="center"/>
    </xf>
    <xf numFmtId="165" fontId="5" fillId="3" borderId="7" xfId="0" applyNumberFormat="1" applyFont="1" applyFill="1" applyBorder="1" applyAlignment="1">
      <alignment horizontal="center"/>
    </xf>
    <xf numFmtId="0" fontId="19" fillId="0" borderId="0" xfId="0" applyFont="1" applyAlignment="1">
      <alignment horizontal="right"/>
    </xf>
    <xf numFmtId="0" fontId="5" fillId="0" borderId="11" xfId="0" applyFont="1" applyBorder="1"/>
    <xf numFmtId="0" fontId="5" fillId="0" borderId="12" xfId="0" applyFont="1" applyBorder="1"/>
    <xf numFmtId="0" fontId="9" fillId="0" borderId="0" xfId="0" applyFont="1" applyAlignment="1">
      <alignment horizontal="left" indent="1"/>
    </xf>
    <xf numFmtId="9" fontId="20" fillId="0" borderId="0" xfId="0" applyNumberFormat="1" applyFont="1" applyProtection="1">
      <protection locked="0"/>
    </xf>
    <xf numFmtId="9" fontId="26" fillId="0" borderId="0" xfId="0" applyNumberFormat="1" applyFont="1"/>
    <xf numFmtId="0" fontId="5" fillId="0" borderId="0" xfId="0" applyFont="1" applyAlignment="1">
      <alignment horizontal="left"/>
    </xf>
    <xf numFmtId="2" fontId="20" fillId="0" borderId="0" xfId="0" applyNumberFormat="1" applyFont="1" applyProtection="1">
      <protection locked="0"/>
    </xf>
    <xf numFmtId="0" fontId="9" fillId="0" borderId="1" xfId="0" applyFont="1" applyBorder="1"/>
    <xf numFmtId="0" fontId="19" fillId="0" borderId="0" xfId="0" applyFont="1"/>
    <xf numFmtId="164" fontId="5" fillId="0" borderId="0" xfId="0" applyNumberFormat="1" applyFont="1"/>
    <xf numFmtId="3" fontId="5" fillId="0" borderId="0" xfId="3" applyNumberFormat="1" applyFont="1" applyProtection="1"/>
    <xf numFmtId="0" fontId="26" fillId="0" borderId="0" xfId="0" applyFont="1" applyAlignment="1">
      <alignment horizontal="center" wrapText="1"/>
    </xf>
    <xf numFmtId="0" fontId="8" fillId="0" borderId="0" xfId="0" applyFont="1" applyAlignment="1">
      <alignment horizontal="left"/>
    </xf>
    <xf numFmtId="9" fontId="8" fillId="0" borderId="0" xfId="0" applyNumberFormat="1" applyFont="1" applyAlignment="1">
      <alignment horizontal="center"/>
    </xf>
    <xf numFmtId="9" fontId="8" fillId="0" borderId="0" xfId="0" quotePrefix="1" applyNumberFormat="1" applyFont="1" applyAlignment="1">
      <alignment horizontal="center"/>
    </xf>
    <xf numFmtId="167" fontId="8" fillId="0" borderId="0" xfId="0" applyNumberFormat="1" applyFont="1"/>
    <xf numFmtId="164" fontId="20" fillId="0" borderId="0" xfId="5" applyNumberFormat="1" applyFont="1" applyFill="1" applyBorder="1" applyProtection="1">
      <protection locked="0"/>
    </xf>
    <xf numFmtId="167" fontId="9" fillId="0" borderId="0" xfId="0" applyNumberFormat="1" applyFont="1"/>
    <xf numFmtId="3" fontId="20" fillId="0" borderId="0" xfId="5" applyNumberFormat="1" applyFont="1" applyFill="1" applyBorder="1" applyProtection="1">
      <protection locked="0"/>
    </xf>
    <xf numFmtId="0" fontId="8" fillId="0" borderId="0" xfId="0" applyFont="1" applyAlignment="1">
      <alignment horizontal="left" indent="1"/>
    </xf>
    <xf numFmtId="164" fontId="26" fillId="0" borderId="0" xfId="0" applyNumberFormat="1" applyFont="1"/>
    <xf numFmtId="2" fontId="26" fillId="0" borderId="0" xfId="0" applyNumberFormat="1" applyFont="1"/>
    <xf numFmtId="1" fontId="2" fillId="5" borderId="14" xfId="0" applyNumberFormat="1" applyFont="1" applyFill="1" applyBorder="1" applyAlignment="1">
      <alignment horizontal="center"/>
    </xf>
    <xf numFmtId="1" fontId="2" fillId="5" borderId="0" xfId="0" applyNumberFormat="1" applyFont="1" applyFill="1" applyAlignment="1">
      <alignment horizontal="center"/>
    </xf>
    <xf numFmtId="0" fontId="2" fillId="5" borderId="9" xfId="0" applyFont="1" applyFill="1" applyBorder="1" applyAlignment="1">
      <alignment horizontal="center"/>
    </xf>
    <xf numFmtId="1" fontId="2" fillId="0" borderId="14" xfId="0" applyNumberFormat="1" applyFont="1" applyBorder="1" applyAlignment="1">
      <alignment horizontal="center"/>
    </xf>
    <xf numFmtId="1" fontId="2" fillId="0" borderId="0" xfId="0" applyNumberFormat="1" applyFont="1" applyAlignment="1">
      <alignment horizontal="center"/>
    </xf>
    <xf numFmtId="0" fontId="2" fillId="0" borderId="9" xfId="0" applyFont="1" applyBorder="1" applyAlignment="1">
      <alignment horizontal="center"/>
    </xf>
    <xf numFmtId="0" fontId="33" fillId="0" borderId="11" xfId="0" applyFont="1" applyBorder="1" applyAlignment="1">
      <alignment horizontal="center"/>
    </xf>
    <xf numFmtId="0" fontId="33" fillId="0" borderId="13" xfId="0" applyFont="1" applyBorder="1" applyAlignment="1">
      <alignment horizontal="center"/>
    </xf>
    <xf numFmtId="0" fontId="33" fillId="0" borderId="10" xfId="0" applyFont="1" applyBorder="1" applyAlignment="1">
      <alignment horizontal="center"/>
    </xf>
    <xf numFmtId="0" fontId="4" fillId="0" borderId="0" xfId="0" applyFont="1"/>
    <xf numFmtId="0" fontId="20" fillId="0" borderId="0" xfId="0" applyFont="1" applyAlignment="1" applyProtection="1">
      <alignment horizontal="center"/>
      <protection locked="0"/>
    </xf>
    <xf numFmtId="166" fontId="19" fillId="0" borderId="0" xfId="0" applyNumberFormat="1" applyFont="1" applyAlignment="1">
      <alignment horizontal="right"/>
    </xf>
    <xf numFmtId="0" fontId="5" fillId="0" borderId="4" xfId="0" applyFont="1" applyBorder="1"/>
    <xf numFmtId="0" fontId="5" fillId="0" borderId="14" xfId="0" applyFont="1" applyBorder="1"/>
    <xf numFmtId="0" fontId="35" fillId="0" borderId="13" xfId="0" applyFont="1" applyBorder="1" applyAlignment="1">
      <alignment vertical="center"/>
    </xf>
    <xf numFmtId="165" fontId="1" fillId="0" borderId="13" xfId="0" applyNumberFormat="1" applyFont="1" applyBorder="1"/>
    <xf numFmtId="0" fontId="1" fillId="0" borderId="13" xfId="0" applyFont="1" applyBorder="1"/>
    <xf numFmtId="0" fontId="1" fillId="0" borderId="10" xfId="0" applyFont="1" applyBorder="1"/>
    <xf numFmtId="0" fontId="9" fillId="0" borderId="2" xfId="0" applyFont="1" applyBorder="1" applyAlignment="1">
      <alignment horizontal="left" indent="1"/>
    </xf>
    <xf numFmtId="1" fontId="9" fillId="0" borderId="0" xfId="0" applyNumberFormat="1" applyFont="1" applyAlignment="1">
      <alignment horizontal="center"/>
    </xf>
    <xf numFmtId="1" fontId="9" fillId="3" borderId="0" xfId="0" applyNumberFormat="1" applyFont="1" applyFill="1" applyAlignment="1">
      <alignment horizontal="center"/>
    </xf>
    <xf numFmtId="1" fontId="9" fillId="0" borderId="9" xfId="0" applyNumberFormat="1" applyFont="1" applyBorder="1" applyAlignment="1">
      <alignment horizontal="center"/>
    </xf>
    <xf numFmtId="0" fontId="9" fillId="0" borderId="5" xfId="0" applyFont="1" applyBorder="1" applyAlignment="1">
      <alignment horizontal="left" indent="1"/>
    </xf>
    <xf numFmtId="0" fontId="9" fillId="0" borderId="1" xfId="0" applyFont="1" applyBorder="1" applyAlignment="1">
      <alignment horizontal="left" indent="1"/>
    </xf>
    <xf numFmtId="2" fontId="9" fillId="0" borderId="1" xfId="0" applyNumberFormat="1" applyFont="1" applyBorder="1" applyAlignment="1">
      <alignment horizontal="center"/>
    </xf>
    <xf numFmtId="2" fontId="9" fillId="3" borderId="1" xfId="0" applyNumberFormat="1" applyFont="1" applyFill="1" applyBorder="1" applyAlignment="1">
      <alignment horizontal="center"/>
    </xf>
    <xf numFmtId="2" fontId="9" fillId="0" borderId="4" xfId="0" applyNumberFormat="1" applyFont="1" applyBorder="1" applyAlignment="1">
      <alignment horizontal="center"/>
    </xf>
    <xf numFmtId="0" fontId="5" fillId="0" borderId="10" xfId="0" applyFont="1" applyBorder="1"/>
    <xf numFmtId="0" fontId="26" fillId="0" borderId="11" xfId="0" applyFont="1" applyBorder="1" applyAlignment="1">
      <alignment vertical="center"/>
    </xf>
    <xf numFmtId="1" fontId="9" fillId="0" borderId="11" xfId="0" applyNumberFormat="1" applyFont="1" applyBorder="1" applyAlignment="1">
      <alignment horizontal="center"/>
    </xf>
    <xf numFmtId="2" fontId="9" fillId="0" borderId="12" xfId="0" applyNumberFormat="1" applyFont="1" applyBorder="1" applyAlignment="1">
      <alignment horizontal="center"/>
    </xf>
    <xf numFmtId="1" fontId="9" fillId="0" borderId="13" xfId="0" applyNumberFormat="1" applyFont="1" applyBorder="1" applyAlignment="1">
      <alignment horizontal="center"/>
    </xf>
    <xf numFmtId="1" fontId="9" fillId="3" borderId="13" xfId="0" applyNumberFormat="1" applyFont="1" applyFill="1" applyBorder="1" applyAlignment="1">
      <alignment horizontal="center"/>
    </xf>
    <xf numFmtId="1" fontId="9" fillId="0" borderId="10" xfId="0" applyNumberFormat="1" applyFont="1" applyBorder="1" applyAlignment="1">
      <alignment horizontal="center"/>
    </xf>
    <xf numFmtId="165" fontId="9" fillId="0" borderId="12" xfId="0" applyNumberFormat="1" applyFont="1" applyBorder="1" applyAlignment="1">
      <alignment horizontal="center"/>
    </xf>
    <xf numFmtId="165" fontId="9" fillId="0" borderId="1" xfId="0" applyNumberFormat="1" applyFont="1" applyBorder="1" applyAlignment="1">
      <alignment horizontal="center"/>
    </xf>
    <xf numFmtId="165" fontId="9" fillId="3" borderId="1" xfId="0" applyNumberFormat="1" applyFont="1" applyFill="1" applyBorder="1" applyAlignment="1">
      <alignment horizontal="center"/>
    </xf>
    <xf numFmtId="165" fontId="9" fillId="0" borderId="4" xfId="0" applyNumberFormat="1" applyFont="1" applyBorder="1" applyAlignment="1">
      <alignment horizontal="center"/>
    </xf>
    <xf numFmtId="0" fontId="4" fillId="0" borderId="1" xfId="0" applyFont="1" applyBorder="1" applyAlignment="1">
      <alignment horizontal="center" wrapText="1"/>
    </xf>
    <xf numFmtId="165" fontId="20" fillId="0" borderId="0" xfId="5" applyNumberFormat="1" applyFont="1" applyFill="1" applyBorder="1" applyProtection="1">
      <protection locked="0"/>
    </xf>
    <xf numFmtId="0" fontId="6" fillId="0" borderId="0" xfId="2" applyAlignment="1" applyProtection="1">
      <alignment horizontal="left" indent="1"/>
    </xf>
    <xf numFmtId="1" fontId="2" fillId="0" borderId="1" xfId="0" applyNumberFormat="1" applyFont="1" applyBorder="1" applyAlignment="1">
      <alignment horizontal="center"/>
    </xf>
    <xf numFmtId="0" fontId="2" fillId="0" borderId="0" xfId="0" applyFont="1" applyAlignment="1">
      <alignment horizontal="center"/>
    </xf>
    <xf numFmtId="1" fontId="2" fillId="0" borderId="12" xfId="0" applyNumberFormat="1" applyFont="1" applyBorder="1" applyAlignment="1">
      <alignment horizontal="center"/>
    </xf>
    <xf numFmtId="0" fontId="2" fillId="0" borderId="4" xfId="0" applyFont="1" applyBorder="1" applyAlignment="1">
      <alignment horizontal="center"/>
    </xf>
    <xf numFmtId="0" fontId="6" fillId="0" borderId="0" xfId="2" applyFill="1" applyAlignment="1" applyProtection="1"/>
    <xf numFmtId="164" fontId="2" fillId="0" borderId="0" xfId="1" applyFont="1" applyAlignment="1">
      <alignment horizontal="left" vertical="top" wrapText="1"/>
    </xf>
    <xf numFmtId="14" fontId="14" fillId="2" borderId="0" xfId="0" applyNumberFormat="1" applyFont="1" applyFill="1" applyAlignment="1">
      <alignment horizontal="center" vertical="center"/>
    </xf>
    <xf numFmtId="0" fontId="26" fillId="0" borderId="6" xfId="0" applyFont="1" applyBorder="1" applyAlignment="1">
      <alignment horizontal="center"/>
    </xf>
    <xf numFmtId="0" fontId="26" fillId="0" borderId="7" xfId="0" applyFont="1" applyBorder="1" applyAlignment="1">
      <alignment horizontal="center"/>
    </xf>
    <xf numFmtId="0" fontId="26" fillId="0" borderId="8" xfId="0" applyFont="1" applyBorder="1" applyAlignment="1">
      <alignment horizontal="center"/>
    </xf>
    <xf numFmtId="0" fontId="5" fillId="0" borderId="6" xfId="0" applyFont="1" applyBorder="1" applyAlignment="1">
      <alignment horizontal="center" wrapText="1"/>
    </xf>
    <xf numFmtId="0" fontId="5" fillId="0" borderId="7" xfId="0" applyFont="1" applyBorder="1" applyAlignment="1">
      <alignment horizontal="center"/>
    </xf>
    <xf numFmtId="0" fontId="5" fillId="0" borderId="8" xfId="0" applyFont="1" applyBorder="1" applyAlignment="1">
      <alignment horizontal="center"/>
    </xf>
    <xf numFmtId="0" fontId="26" fillId="0" borderId="11" xfId="0" applyFont="1" applyBorder="1" applyAlignment="1">
      <alignment horizontal="center"/>
    </xf>
    <xf numFmtId="0" fontId="26" fillId="0" borderId="10" xfId="0" applyFont="1" applyBorder="1" applyAlignment="1">
      <alignment horizontal="center"/>
    </xf>
    <xf numFmtId="0" fontId="26" fillId="0" borderId="12" xfId="0" applyFont="1" applyBorder="1" applyAlignment="1">
      <alignment horizontal="center"/>
    </xf>
    <xf numFmtId="0" fontId="26" fillId="0" borderId="4" xfId="0" applyFont="1" applyBorder="1" applyAlignment="1">
      <alignment horizontal="center"/>
    </xf>
    <xf numFmtId="0" fontId="20" fillId="0" borderId="11" xfId="0" applyFont="1" applyBorder="1" applyAlignment="1" applyProtection="1">
      <alignment horizontal="center"/>
      <protection locked="0"/>
    </xf>
    <xf numFmtId="0" fontId="20" fillId="0" borderId="13" xfId="0" applyFont="1" applyBorder="1" applyAlignment="1" applyProtection="1">
      <alignment horizontal="center"/>
      <protection locked="0"/>
    </xf>
    <xf numFmtId="0" fontId="26" fillId="0" borderId="14" xfId="0" applyFont="1" applyBorder="1" applyAlignment="1">
      <alignment horizontal="center"/>
    </xf>
    <xf numFmtId="0" fontId="26" fillId="0" borderId="0" xfId="0" applyFont="1" applyAlignment="1">
      <alignment horizontal="center"/>
    </xf>
    <xf numFmtId="0" fontId="3" fillId="0" borderId="14" xfId="0" applyFont="1" applyBorder="1" applyAlignment="1">
      <alignment horizontal="center" wrapText="1"/>
    </xf>
    <xf numFmtId="0" fontId="3" fillId="0" borderId="12" xfId="0" applyFont="1" applyBorder="1" applyAlignment="1">
      <alignment horizontal="center" wrapText="1"/>
    </xf>
    <xf numFmtId="0" fontId="3" fillId="0" borderId="9" xfId="0" applyFont="1" applyBorder="1" applyAlignment="1">
      <alignment horizontal="center" wrapText="1"/>
    </xf>
    <xf numFmtId="0" fontId="3" fillId="0" borderId="4" xfId="0" applyFont="1" applyBorder="1" applyAlignment="1">
      <alignment horizontal="center" wrapText="1"/>
    </xf>
    <xf numFmtId="0" fontId="9" fillId="0" borderId="0" xfId="0" applyFont="1" applyAlignment="1">
      <alignment horizontal="right"/>
    </xf>
    <xf numFmtId="0" fontId="8" fillId="0" borderId="0" xfId="0" applyFont="1" applyAlignment="1">
      <alignment horizontal="right"/>
    </xf>
    <xf numFmtId="0" fontId="26" fillId="0" borderId="1" xfId="0" applyFont="1" applyBorder="1" applyAlignment="1">
      <alignment horizontal="center"/>
    </xf>
    <xf numFmtId="0" fontId="32" fillId="4" borderId="11" xfId="0" applyFont="1" applyFill="1" applyBorder="1" applyAlignment="1">
      <alignment horizontal="center" wrapText="1"/>
    </xf>
    <xf numFmtId="0" fontId="32" fillId="4" borderId="13" xfId="0" applyFont="1" applyFill="1" applyBorder="1" applyAlignment="1">
      <alignment horizontal="center" wrapText="1"/>
    </xf>
    <xf numFmtId="0" fontId="32" fillId="4" borderId="10" xfId="0" applyFont="1" applyFill="1" applyBorder="1" applyAlignment="1">
      <alignment horizontal="center" wrapText="1"/>
    </xf>
    <xf numFmtId="0" fontId="32" fillId="4" borderId="12" xfId="0" applyFont="1" applyFill="1" applyBorder="1" applyAlignment="1">
      <alignment horizontal="center" wrapText="1"/>
    </xf>
    <xf numFmtId="0" fontId="32" fillId="4" borderId="1" xfId="0" applyFont="1" applyFill="1" applyBorder="1" applyAlignment="1">
      <alignment horizontal="center" wrapText="1"/>
    </xf>
    <xf numFmtId="0" fontId="32" fillId="4" borderId="4" xfId="0" applyFont="1" applyFill="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5" xfId="0" applyFont="1" applyBorder="1" applyAlignment="1">
      <alignment horizontal="center" wrapText="1"/>
    </xf>
    <xf numFmtId="0" fontId="3" fillId="0" borderId="11" xfId="0" applyFont="1" applyBorder="1" applyAlignment="1">
      <alignment horizontal="center" wrapText="1"/>
    </xf>
    <xf numFmtId="0" fontId="3" fillId="0" borderId="10" xfId="0" applyFont="1" applyBorder="1" applyAlignment="1">
      <alignment horizontal="center" wrapText="1"/>
    </xf>
    <xf numFmtId="0" fontId="34" fillId="0" borderId="0" xfId="0" applyFont="1" applyAlignment="1">
      <alignment horizontal="left" vertical="top" wrapText="1"/>
    </xf>
  </cellXfs>
  <cellStyles count="6">
    <cellStyle name="Comma" xfId="3" builtinId="3"/>
    <cellStyle name="Currency" xfId="5" builtinId="4"/>
    <cellStyle name="Hyperlink" xfId="2" builtinId="8"/>
    <cellStyle name="Normal" xfId="0" builtinId="0"/>
    <cellStyle name="Normal 2" xfId="4" xr:uid="{00000000-0005-0000-0000-000004000000}"/>
    <cellStyle name="Normal_Farrow-Wean 500" xfId="1" xr:uid="{00000000-0005-0000-0000-000005000000}"/>
  </cellStyles>
  <dxfs count="1">
    <dxf>
      <fill>
        <patternFill>
          <bgColor theme="0" tint="-4.9989318521683403E-2"/>
        </patternFill>
      </fill>
    </dxf>
  </dxfs>
  <tableStyles count="0" defaultTableStyle="TableStyleMedium2" defaultPivotStyle="PivotStyleLight16"/>
  <colors>
    <mruColors>
      <color rgb="FF0000FF"/>
      <color rgb="FF4277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s://www.gov.mb.ca/agriculture/farm-management/farm-business-management-contacts.htm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228600</xdr:colOff>
      <xdr:row>0</xdr:row>
      <xdr:rowOff>84773</xdr:rowOff>
    </xdr:from>
    <xdr:to>
      <xdr:col>10</xdr:col>
      <xdr:colOff>28574</xdr:colOff>
      <xdr:row>1</xdr:row>
      <xdr:rowOff>114300</xdr:rowOff>
    </xdr:to>
    <xdr:pic>
      <xdr:nvPicPr>
        <xdr:cNvPr id="4" name="Picture 6" descr="Government of Manitoba logo.">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34050" y="84773"/>
          <a:ext cx="1943099" cy="3724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19050</xdr:colOff>
      <xdr:row>107</xdr:row>
      <xdr:rowOff>66675</xdr:rowOff>
    </xdr:from>
    <xdr:to>
      <xdr:col>5</xdr:col>
      <xdr:colOff>609600</xdr:colOff>
      <xdr:row>111</xdr:row>
      <xdr:rowOff>66675</xdr:rowOff>
    </xdr:to>
    <xdr:pic>
      <xdr:nvPicPr>
        <xdr:cNvPr id="6" name="Picture 5" descr="Contact Us information including a link to Farm Management Specialists listing.">
          <a:hlinkClick xmlns:r="http://schemas.openxmlformats.org/officeDocument/2006/relationships" r:id="rId2" tooltip="Click here for a list of Farm Management contacts."/>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09775" y="20669250"/>
          <a:ext cx="3733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mb.ca/agriculture/farm-management/cost-production/pubs/cop-forage-cereal-silage.xlsm" TargetMode="External"/><Relationship Id="rId2" Type="http://schemas.openxmlformats.org/officeDocument/2006/relationships/hyperlink" Target="https://www.gov.mb.ca/agriculture/farm-management/farm-machinery/index.html" TargetMode="External"/><Relationship Id="rId1" Type="http://schemas.openxmlformats.org/officeDocument/2006/relationships/hyperlink" Target="https://extension.missouri.edu/g4591"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10"/>
  <sheetViews>
    <sheetView tabSelected="1" zoomScaleNormal="100" workbookViewId="0"/>
  </sheetViews>
  <sheetFormatPr defaultRowHeight="14.4" x14ac:dyDescent="0.3"/>
  <cols>
    <col min="1" max="1" width="4.109375" style="8" customWidth="1"/>
    <col min="2" max="3" width="25.6640625" style="8" customWidth="1"/>
    <col min="4" max="10" width="10.6640625" style="8" customWidth="1"/>
    <col min="11" max="11" width="4.5546875" style="8" customWidth="1"/>
    <col min="12" max="12" width="9.109375" style="8"/>
  </cols>
  <sheetData>
    <row r="1" spans="1:22" ht="27" customHeight="1" x14ac:dyDescent="0.3">
      <c r="E1" s="9"/>
      <c r="F1" s="9"/>
      <c r="G1" s="9"/>
      <c r="H1" s="9"/>
    </row>
    <row r="2" spans="1:22" ht="27.6" x14ac:dyDescent="0.45">
      <c r="A2" s="10" t="s">
        <v>1</v>
      </c>
      <c r="B2" s="10"/>
      <c r="C2" s="10"/>
      <c r="E2" s="9"/>
      <c r="F2" s="9"/>
      <c r="G2" s="9"/>
      <c r="H2" s="9"/>
    </row>
    <row r="3" spans="1:22" ht="22.8" x14ac:dyDescent="0.4">
      <c r="A3" s="11" t="s">
        <v>9</v>
      </c>
      <c r="B3" s="11"/>
      <c r="C3" s="11"/>
      <c r="D3" s="12"/>
      <c r="E3" s="13"/>
      <c r="F3" s="13"/>
      <c r="G3" s="14"/>
      <c r="H3" s="14"/>
      <c r="I3" s="15" t="s">
        <v>0</v>
      </c>
      <c r="J3" s="135">
        <f ca="1">TODAY()</f>
        <v>45566</v>
      </c>
      <c r="K3" s="135"/>
    </row>
    <row r="4" spans="1:22" s="8" customFormat="1" ht="15.6" x14ac:dyDescent="0.3">
      <c r="A4" s="25"/>
      <c r="B4" s="25"/>
      <c r="C4" s="25"/>
      <c r="E4" s="26" t="s">
        <v>7</v>
      </c>
      <c r="K4" s="65" t="s">
        <v>105</v>
      </c>
      <c r="L4" s="27"/>
      <c r="M4"/>
      <c r="N4"/>
      <c r="O4" s="28"/>
      <c r="P4" s="28"/>
      <c r="Q4" s="29"/>
      <c r="R4" s="29"/>
      <c r="S4" s="29"/>
      <c r="T4" s="30"/>
      <c r="U4" s="30"/>
      <c r="V4" s="29"/>
    </row>
    <row r="5" spans="1:22" ht="15" customHeight="1" x14ac:dyDescent="0.3">
      <c r="A5" s="8" t="s">
        <v>29</v>
      </c>
      <c r="B5" s="8" t="s">
        <v>10</v>
      </c>
      <c r="D5" s="22">
        <v>160</v>
      </c>
    </row>
    <row r="6" spans="1:22" x14ac:dyDescent="0.3">
      <c r="A6" s="8" t="s">
        <v>30</v>
      </c>
      <c r="B6" s="8" t="s">
        <v>33</v>
      </c>
      <c r="D6" s="69">
        <v>0.65</v>
      </c>
      <c r="E6" s="8" t="s">
        <v>32</v>
      </c>
    </row>
    <row r="7" spans="1:22" ht="15" customHeight="1" x14ac:dyDescent="0.3">
      <c r="A7" s="8" t="s">
        <v>31</v>
      </c>
      <c r="B7" s="8" t="s">
        <v>34</v>
      </c>
      <c r="D7" s="70">
        <f>1-D6</f>
        <v>0.35</v>
      </c>
      <c r="E7" s="8" t="s">
        <v>32</v>
      </c>
    </row>
    <row r="8" spans="1:22" ht="15" customHeight="1" x14ac:dyDescent="0.3">
      <c r="A8" s="8" t="s">
        <v>35</v>
      </c>
      <c r="B8" s="8" t="s">
        <v>38</v>
      </c>
      <c r="D8" s="22">
        <v>9</v>
      </c>
      <c r="E8" s="8" t="s">
        <v>37</v>
      </c>
      <c r="F8" s="45" t="str">
        <f>"("&amp;D8*D5&amp;" total tons)"</f>
        <v>(1440 total tons)</v>
      </c>
      <c r="H8" s="157" t="s">
        <v>75</v>
      </c>
      <c r="I8" s="158"/>
      <c r="J8" s="159"/>
    </row>
    <row r="9" spans="1:22" ht="15" customHeight="1" x14ac:dyDescent="0.3">
      <c r="A9" s="8" t="s">
        <v>36</v>
      </c>
      <c r="B9" s="8" t="s">
        <v>39</v>
      </c>
      <c r="D9" s="41">
        <f>D8*D7</f>
        <v>3.15</v>
      </c>
      <c r="E9" s="8" t="s">
        <v>37</v>
      </c>
      <c r="F9" s="45" t="str">
        <f>"("&amp;D9*D5&amp;" total tons)"</f>
        <v>(504 total tons)</v>
      </c>
      <c r="H9" s="160"/>
      <c r="I9" s="161"/>
      <c r="J9" s="162"/>
    </row>
    <row r="10" spans="1:22" ht="15" customHeight="1" x14ac:dyDescent="0.3">
      <c r="D10" s="22"/>
      <c r="E10" s="45"/>
      <c r="H10" s="163" t="s">
        <v>76</v>
      </c>
      <c r="I10" s="166" t="s">
        <v>77</v>
      </c>
      <c r="J10" s="167"/>
    </row>
    <row r="11" spans="1:22" ht="15" customHeight="1" x14ac:dyDescent="0.3">
      <c r="A11" s="8" t="s">
        <v>40</v>
      </c>
      <c r="B11" s="8" t="s">
        <v>22</v>
      </c>
      <c r="D11" s="23">
        <v>12</v>
      </c>
      <c r="E11" s="168" t="s">
        <v>15</v>
      </c>
      <c r="F11" s="168"/>
      <c r="G11" s="168"/>
      <c r="H11" s="164"/>
      <c r="I11" s="150" t="s">
        <v>78</v>
      </c>
      <c r="J11" s="152" t="s">
        <v>79</v>
      </c>
    </row>
    <row r="12" spans="1:22" ht="15" customHeight="1" x14ac:dyDescent="0.3">
      <c r="A12" s="8" t="s">
        <v>41</v>
      </c>
      <c r="B12" s="8" t="s">
        <v>11</v>
      </c>
      <c r="D12" s="23">
        <v>2</v>
      </c>
      <c r="E12" s="168"/>
      <c r="F12" s="168"/>
      <c r="G12" s="168"/>
      <c r="H12" s="165"/>
      <c r="I12" s="151"/>
      <c r="J12" s="153"/>
    </row>
    <row r="13" spans="1:22" x14ac:dyDescent="0.3">
      <c r="D13" s="46"/>
      <c r="E13" s="168"/>
      <c r="F13" s="168"/>
      <c r="G13" s="168"/>
      <c r="H13" s="94" t="s">
        <v>80</v>
      </c>
      <c r="I13" s="95" t="s">
        <v>37</v>
      </c>
      <c r="J13" s="96" t="s">
        <v>37</v>
      </c>
    </row>
    <row r="14" spans="1:22" x14ac:dyDescent="0.3">
      <c r="A14" s="8" t="s">
        <v>42</v>
      </c>
      <c r="B14" s="8" t="s">
        <v>3</v>
      </c>
      <c r="D14" s="24">
        <v>7</v>
      </c>
      <c r="H14" s="88">
        <v>5.7799999999999914</v>
      </c>
      <c r="I14" s="89">
        <f t="shared" ref="I14:I21" si="0">J14/$D$7</f>
        <v>5.7142857142857144</v>
      </c>
      <c r="J14" s="90">
        <v>2</v>
      </c>
    </row>
    <row r="15" spans="1:22" x14ac:dyDescent="0.3">
      <c r="A15" s="8" t="s">
        <v>43</v>
      </c>
      <c r="B15" s="8" t="s">
        <v>4</v>
      </c>
      <c r="D15" s="22">
        <v>25</v>
      </c>
      <c r="H15" s="91">
        <v>40.429999999999993</v>
      </c>
      <c r="I15" s="92">
        <f t="shared" si="0"/>
        <v>8.5714285714285712</v>
      </c>
      <c r="J15" s="93">
        <v>3</v>
      </c>
    </row>
    <row r="16" spans="1:22" x14ac:dyDescent="0.3">
      <c r="A16" s="8" t="s">
        <v>44</v>
      </c>
      <c r="B16" s="8" t="s">
        <v>12</v>
      </c>
      <c r="D16" s="22">
        <v>24</v>
      </c>
      <c r="E16" s="45" t="str">
        <f>"("&amp;ROUNDUP((D8*D5)/D16,0)&amp;" loads)"</f>
        <v>(60 loads)</v>
      </c>
      <c r="H16" s="88">
        <v>72.019999999999982</v>
      </c>
      <c r="I16" s="89">
        <f t="shared" si="0"/>
        <v>11.428571428571429</v>
      </c>
      <c r="J16" s="90">
        <v>4</v>
      </c>
    </row>
    <row r="17" spans="1:11" x14ac:dyDescent="0.3">
      <c r="A17" s="8" t="s">
        <v>45</v>
      </c>
      <c r="B17" s="8" t="s">
        <v>6</v>
      </c>
      <c r="D17" s="76">
        <f>2000*D16</f>
        <v>48000</v>
      </c>
      <c r="H17" s="91">
        <v>100.55000000000001</v>
      </c>
      <c r="I17" s="92">
        <f t="shared" si="0"/>
        <v>14.285714285714286</v>
      </c>
      <c r="J17" s="93">
        <v>5</v>
      </c>
    </row>
    <row r="18" spans="1:11" x14ac:dyDescent="0.3">
      <c r="A18" s="8" t="s">
        <v>46</v>
      </c>
      <c r="B18" s="8" t="str">
        <f>"Total number of loads hauled ("&amp;TEXT(D8*D5,"#,###")&amp;" tons)"</f>
        <v>Total number of loads hauled (1,440 tons)</v>
      </c>
      <c r="D18" s="53">
        <f>ROUNDUP((D8*D5)/D16,0)</f>
        <v>60</v>
      </c>
      <c r="H18" s="88">
        <v>126.01999999999997</v>
      </c>
      <c r="I18" s="89">
        <f t="shared" si="0"/>
        <v>17.142857142857142</v>
      </c>
      <c r="J18" s="90">
        <v>6</v>
      </c>
    </row>
    <row r="19" spans="1:11" x14ac:dyDescent="0.3">
      <c r="D19" s="53"/>
      <c r="H19" s="91">
        <v>148.42999999999998</v>
      </c>
      <c r="I19" s="92">
        <f t="shared" si="0"/>
        <v>20</v>
      </c>
      <c r="J19" s="93">
        <v>7</v>
      </c>
    </row>
    <row r="20" spans="1:11" s="8" customFormat="1" ht="13.8" x14ac:dyDescent="0.25">
      <c r="A20" s="8" t="s">
        <v>49</v>
      </c>
      <c r="B20" s="8" t="s">
        <v>57</v>
      </c>
      <c r="D20" s="75">
        <f>D11+D12</f>
        <v>14</v>
      </c>
      <c r="E20" s="8" t="s">
        <v>50</v>
      </c>
      <c r="H20" s="88">
        <v>167.77999999999997</v>
      </c>
      <c r="I20" s="89">
        <f t="shared" si="0"/>
        <v>22.857142857142858</v>
      </c>
      <c r="J20" s="90">
        <v>8</v>
      </c>
    </row>
    <row r="21" spans="1:11" s="8" customFormat="1" ht="13.8" x14ac:dyDescent="0.25">
      <c r="A21" s="8" t="s">
        <v>51</v>
      </c>
      <c r="B21" s="8" t="s">
        <v>68</v>
      </c>
      <c r="D21" s="75">
        <f>D20/D7</f>
        <v>40</v>
      </c>
      <c r="E21" s="8" t="s">
        <v>50</v>
      </c>
      <c r="H21" s="131">
        <v>184.07</v>
      </c>
      <c r="I21" s="129">
        <f t="shared" si="0"/>
        <v>25.714285714285715</v>
      </c>
      <c r="J21" s="132">
        <v>9</v>
      </c>
    </row>
    <row r="22" spans="1:11" s="8" customFormat="1" ht="13.8" x14ac:dyDescent="0.25">
      <c r="A22" s="8" t="s">
        <v>53</v>
      </c>
      <c r="B22" s="8" t="s">
        <v>67</v>
      </c>
      <c r="D22" s="75">
        <f>D20*D8</f>
        <v>126</v>
      </c>
      <c r="E22" s="8" t="s">
        <v>52</v>
      </c>
      <c r="H22" s="74" t="s">
        <v>129</v>
      </c>
      <c r="I22" s="92"/>
      <c r="J22" s="93"/>
    </row>
    <row r="23" spans="1:11" s="8" customFormat="1" ht="13.8" x14ac:dyDescent="0.25">
      <c r="A23" s="8" t="s">
        <v>54</v>
      </c>
      <c r="B23" s="8" t="str">
        <f>"Custom Harvest per "&amp;TEXT(D8*D5,"#,###")&amp;" Tons (AxO)"</f>
        <v>Custom Harvest per 1,440 Tons (AxO)</v>
      </c>
      <c r="D23" s="51">
        <f>D5*D22</f>
        <v>20160</v>
      </c>
      <c r="H23" s="92"/>
      <c r="I23" s="92"/>
      <c r="J23" s="130"/>
    </row>
    <row r="24" spans="1:11" s="8" customFormat="1" ht="13.8" x14ac:dyDescent="0.25">
      <c r="D24" s="51"/>
      <c r="H24" s="92"/>
      <c r="I24" s="92"/>
      <c r="J24" s="130"/>
    </row>
    <row r="25" spans="1:11" s="8" customFormat="1" ht="13.8" x14ac:dyDescent="0.25">
      <c r="A25" s="8" t="s">
        <v>55</v>
      </c>
      <c r="B25" s="8" t="s">
        <v>62</v>
      </c>
      <c r="D25" s="75">
        <f>(D14*D15*D18)/(D8*D5)</f>
        <v>7.291666666666667</v>
      </c>
      <c r="E25" s="8" t="s">
        <v>50</v>
      </c>
      <c r="H25" s="92"/>
      <c r="I25" s="92"/>
      <c r="J25" s="130"/>
    </row>
    <row r="26" spans="1:11" s="8" customFormat="1" ht="13.8" x14ac:dyDescent="0.25">
      <c r="A26" s="8" t="s">
        <v>56</v>
      </c>
      <c r="B26" s="8" t="s">
        <v>69</v>
      </c>
      <c r="D26" s="75">
        <f>ROUND(D25/D7,2)</f>
        <v>20.83</v>
      </c>
      <c r="E26" s="8" t="s">
        <v>50</v>
      </c>
      <c r="H26" s="92"/>
      <c r="I26" s="92"/>
      <c r="J26" s="130"/>
    </row>
    <row r="27" spans="1:11" s="8" customFormat="1" ht="13.8" x14ac:dyDescent="0.25">
      <c r="A27" s="8" t="s">
        <v>58</v>
      </c>
      <c r="B27" s="8" t="s">
        <v>70</v>
      </c>
      <c r="D27" s="75">
        <f>D25*D8</f>
        <v>65.625</v>
      </c>
      <c r="E27" s="8" t="s">
        <v>52</v>
      </c>
      <c r="H27" s="74"/>
    </row>
    <row r="28" spans="1:11" s="8" customFormat="1" ht="13.8" x14ac:dyDescent="0.25">
      <c r="A28" s="8" t="s">
        <v>59</v>
      </c>
      <c r="B28" s="8" t="str">
        <f>"Freight Cost per "&amp;TEXT(D8*D5,"#,###")&amp;" Tons (HxIxL)"</f>
        <v>Freight Cost per 1,440 Tons (HxIxL)</v>
      </c>
      <c r="D28" s="51">
        <f>(D14*D15*D18)</f>
        <v>10500</v>
      </c>
    </row>
    <row r="29" spans="1:11" ht="7.5" customHeight="1" x14ac:dyDescent="0.3"/>
    <row r="30" spans="1:11" ht="20.25" customHeight="1" x14ac:dyDescent="0.3">
      <c r="A30" s="20" t="s">
        <v>97</v>
      </c>
      <c r="B30" s="20"/>
      <c r="C30" s="20"/>
      <c r="D30" s="19"/>
      <c r="E30" s="19"/>
      <c r="F30" s="18"/>
      <c r="G30" s="19"/>
      <c r="H30" s="19"/>
      <c r="I30" s="19"/>
      <c r="J30" s="19"/>
      <c r="K30" s="19"/>
    </row>
    <row r="31" spans="1:11" ht="7.5" customHeight="1" x14ac:dyDescent="0.3"/>
    <row r="32" spans="1:11" x14ac:dyDescent="0.3">
      <c r="A32" s="8" t="s">
        <v>60</v>
      </c>
      <c r="B32" s="8" t="s">
        <v>47</v>
      </c>
      <c r="D32" s="72">
        <v>5.5</v>
      </c>
      <c r="E32" s="8" t="s">
        <v>48</v>
      </c>
      <c r="F32" s="44" t="s">
        <v>8</v>
      </c>
      <c r="G32"/>
      <c r="H32" s="48"/>
      <c r="J32" s="48"/>
    </row>
    <row r="33" spans="1:14" x14ac:dyDescent="0.3">
      <c r="A33" s="8" t="s">
        <v>61</v>
      </c>
      <c r="B33" s="8" t="s">
        <v>72</v>
      </c>
      <c r="D33" s="25">
        <f>(D7/100%)*D32</f>
        <v>1.9249999999999998</v>
      </c>
      <c r="E33" s="8" t="s">
        <v>48</v>
      </c>
      <c r="F33" s="74" t="str">
        <f>"(equivalent dry hay standing cost = "&amp;ROUND(0.85*D32,2)&amp;" cents/lb @ 15% moisture)"</f>
        <v>(equivalent dry hay standing cost = 4.68 cents/lb @ 15% moisture)</v>
      </c>
      <c r="H33" s="48"/>
      <c r="J33" s="48"/>
    </row>
    <row r="34" spans="1:14" x14ac:dyDescent="0.3">
      <c r="A34" s="8" t="s">
        <v>71</v>
      </c>
      <c r="B34" s="8" t="s">
        <v>86</v>
      </c>
      <c r="D34" s="75">
        <f>SUM(D32*2000)/100</f>
        <v>110</v>
      </c>
      <c r="E34" s="8" t="s">
        <v>50</v>
      </c>
      <c r="F34" s="48"/>
      <c r="H34" s="48"/>
      <c r="J34" s="48"/>
    </row>
    <row r="35" spans="1:14" x14ac:dyDescent="0.3">
      <c r="A35" s="8" t="s">
        <v>63</v>
      </c>
      <c r="B35" s="8" t="s">
        <v>73</v>
      </c>
      <c r="D35" s="75">
        <f>D33/100*2000</f>
        <v>38.5</v>
      </c>
      <c r="E35" s="8" t="s">
        <v>50</v>
      </c>
      <c r="F35" s="48"/>
      <c r="H35" s="48"/>
      <c r="J35" s="48"/>
    </row>
    <row r="36" spans="1:14" x14ac:dyDescent="0.3">
      <c r="A36" s="8" t="s">
        <v>64</v>
      </c>
      <c r="B36" s="8" t="s">
        <v>74</v>
      </c>
      <c r="D36" s="75">
        <f>D35*D8</f>
        <v>346.5</v>
      </c>
      <c r="E36" s="8" t="s">
        <v>52</v>
      </c>
      <c r="F36" s="48"/>
      <c r="H36" s="48"/>
      <c r="J36" s="48"/>
    </row>
    <row r="37" spans="1:14" x14ac:dyDescent="0.3">
      <c r="A37" s="8" t="s">
        <v>65</v>
      </c>
      <c r="B37" s="8" t="str">
        <f>"Standing Crop per "&amp;TEXT(D8*D5,"#,###")&amp;" Tons (AxY)"</f>
        <v>Standing Crop per 1,440 Tons (AxY)</v>
      </c>
      <c r="D37" s="51">
        <f>D5*D36</f>
        <v>55440</v>
      </c>
      <c r="F37" s="48"/>
      <c r="H37" s="48"/>
      <c r="J37" s="48"/>
      <c r="M37" s="8"/>
      <c r="N37" s="8"/>
    </row>
    <row r="38" spans="1:14" s="8" customFormat="1" ht="7.5" customHeight="1" x14ac:dyDescent="0.3">
      <c r="D38" s="51"/>
      <c r="F38" s="48"/>
      <c r="H38" s="48"/>
      <c r="J38" s="48"/>
      <c r="M38"/>
      <c r="N38"/>
    </row>
    <row r="39" spans="1:14" ht="30" customHeight="1" x14ac:dyDescent="0.3">
      <c r="D39" s="47" t="s">
        <v>20</v>
      </c>
      <c r="E39" s="25"/>
      <c r="F39" s="47" t="s">
        <v>5</v>
      </c>
      <c r="G39" s="25"/>
      <c r="H39" s="47" t="s">
        <v>23</v>
      </c>
      <c r="I39" s="25"/>
      <c r="J39" s="126" t="str">
        <f>"Price / "&amp;TEXT(D8*D5,"#,###")&amp;" Tons "</f>
        <v xml:space="preserve">Price / 1,440 Tons </v>
      </c>
    </row>
    <row r="40" spans="1:14" x14ac:dyDescent="0.3">
      <c r="B40" s="8" t="s">
        <v>14</v>
      </c>
      <c r="D40" s="48">
        <f>D36</f>
        <v>346.5</v>
      </c>
      <c r="E40" s="74" t="s">
        <v>107</v>
      </c>
      <c r="F40" s="48">
        <f>D35</f>
        <v>38.5</v>
      </c>
      <c r="G40" s="74" t="s">
        <v>110</v>
      </c>
      <c r="H40" s="48">
        <f>D34</f>
        <v>110</v>
      </c>
      <c r="I40" s="74" t="s">
        <v>113</v>
      </c>
      <c r="J40" s="48">
        <f>D37</f>
        <v>55440</v>
      </c>
      <c r="K40" s="74" t="s">
        <v>116</v>
      </c>
    </row>
    <row r="41" spans="1:14" x14ac:dyDescent="0.3">
      <c r="B41" s="8" t="s">
        <v>13</v>
      </c>
      <c r="D41" s="48">
        <f>$D$22</f>
        <v>126</v>
      </c>
      <c r="E41" s="74" t="s">
        <v>108</v>
      </c>
      <c r="F41" s="48">
        <f>$D$20</f>
        <v>14</v>
      </c>
      <c r="G41" s="74" t="s">
        <v>111</v>
      </c>
      <c r="H41" s="48">
        <f>$D$21</f>
        <v>40</v>
      </c>
      <c r="I41" s="74" t="s">
        <v>114</v>
      </c>
      <c r="J41" s="48">
        <f>$D$23</f>
        <v>20160</v>
      </c>
      <c r="K41" s="74" t="s">
        <v>117</v>
      </c>
    </row>
    <row r="42" spans="1:14" x14ac:dyDescent="0.3">
      <c r="B42" s="8" t="str">
        <f>"Total freight cost ($"&amp;TEXT(D14*D15,"#,###")&amp;"/load)"</f>
        <v>Total freight cost ($175/load)</v>
      </c>
      <c r="D42" s="49">
        <f>$D$27</f>
        <v>65.625</v>
      </c>
      <c r="E42" s="74" t="s">
        <v>109</v>
      </c>
      <c r="F42" s="49">
        <f>$D$25</f>
        <v>7.291666666666667</v>
      </c>
      <c r="G42" s="74" t="s">
        <v>112</v>
      </c>
      <c r="H42" s="49">
        <f>$D$26</f>
        <v>20.83</v>
      </c>
      <c r="I42" s="74" t="s">
        <v>115</v>
      </c>
      <c r="J42" s="49">
        <f>$D$28</f>
        <v>10500</v>
      </c>
      <c r="K42" s="74" t="s">
        <v>118</v>
      </c>
    </row>
    <row r="43" spans="1:14" x14ac:dyDescent="0.3">
      <c r="B43" s="50" t="s">
        <v>2</v>
      </c>
      <c r="C43" s="50"/>
      <c r="D43" s="51">
        <f>SUM(D40:D42)</f>
        <v>538.125</v>
      </c>
      <c r="E43" s="25"/>
      <c r="F43" s="51">
        <f>SUM(F40:F42)</f>
        <v>59.791666666666664</v>
      </c>
      <c r="G43" s="25"/>
      <c r="H43" s="51">
        <f>SUM(H40:H42)</f>
        <v>170.82999999999998</v>
      </c>
      <c r="I43" s="25"/>
      <c r="J43" s="51">
        <f>SUM(J40:J42)</f>
        <v>86100</v>
      </c>
    </row>
    <row r="44" spans="1:14" x14ac:dyDescent="0.3">
      <c r="B44" s="50"/>
      <c r="C44" s="50"/>
      <c r="D44" s="51"/>
      <c r="E44" s="25"/>
      <c r="F44" s="99" t="str">
        <f>"("&amp;ROUND((F43/2000)*100,2)&amp;" ¢/lb)"</f>
        <v>(2.99 ¢/lb)</v>
      </c>
      <c r="H44" s="99" t="str">
        <f>"("&amp;ROUND((H43/2000)*100,2)&amp;" ¢/lb)"</f>
        <v>(8.54 ¢/lb)</v>
      </c>
      <c r="I44" s="25"/>
      <c r="J44" s="51"/>
    </row>
    <row r="45" spans="1:14" ht="7.5" customHeight="1" x14ac:dyDescent="0.3">
      <c r="F45" s="54"/>
      <c r="H45" s="54"/>
    </row>
    <row r="46" spans="1:14" ht="15" customHeight="1" x14ac:dyDescent="0.3">
      <c r="A46"/>
      <c r="B46" s="116" t="s">
        <v>123</v>
      </c>
      <c r="C46" s="102"/>
      <c r="D46" s="103"/>
      <c r="E46" s="103"/>
      <c r="F46" s="104"/>
      <c r="G46" s="104"/>
      <c r="H46" s="104"/>
      <c r="I46" s="104"/>
      <c r="J46" s="105"/>
      <c r="K46" s="31"/>
    </row>
    <row r="47" spans="1:14" x14ac:dyDescent="0.3">
      <c r="A47" s="101"/>
      <c r="B47" s="66"/>
      <c r="C47" s="115"/>
      <c r="D47" s="139" t="s">
        <v>26</v>
      </c>
      <c r="E47" s="140"/>
      <c r="F47" s="140"/>
      <c r="G47" s="140"/>
      <c r="H47" s="140"/>
      <c r="I47" s="140"/>
      <c r="J47" s="141"/>
    </row>
    <row r="48" spans="1:14" x14ac:dyDescent="0.3">
      <c r="B48" s="67" t="s">
        <v>28</v>
      </c>
      <c r="C48" s="100"/>
      <c r="D48" s="61">
        <f>$G$48-($D$52*3)</f>
        <v>44.791666666666664</v>
      </c>
      <c r="E48" s="62">
        <f>$G$48-($D$52*2)</f>
        <v>49.791666666666664</v>
      </c>
      <c r="F48" s="62">
        <f>$G$48-$D$52</f>
        <v>54.791666666666664</v>
      </c>
      <c r="G48" s="64">
        <f>F43</f>
        <v>59.791666666666664</v>
      </c>
      <c r="H48" s="62">
        <f>$G$48+$D$52</f>
        <v>64.791666666666657</v>
      </c>
      <c r="I48" s="62">
        <f>$G$48+($D$52*2)</f>
        <v>69.791666666666657</v>
      </c>
      <c r="J48" s="63">
        <f>$G$48+($D$52*3)</f>
        <v>74.791666666666657</v>
      </c>
    </row>
    <row r="49" spans="1:17" x14ac:dyDescent="0.3">
      <c r="B49" s="106" t="str">
        <f>"Miles Hauled @ "&amp;D32&amp;" ¢/lb DM standing corn"</f>
        <v>Miles Hauled @ 5.5 ¢/lb DM standing corn</v>
      </c>
      <c r="C49" s="68"/>
      <c r="D49" s="117">
        <f>IF((D48-($F$40+$F$41))*($D$5*$D$8)/($D$14*$D$18)&lt;0,0,(D48-($F$40+$F$41))*($D$5*$D$8)/($D$14*$D$18))</f>
        <v>0</v>
      </c>
      <c r="E49" s="107">
        <f>IF((E48-($F$40+$F$41))*($D$5*$D$8)/($D$14*$D$18)&lt;0,0,(E48-($F$40+$F$41))*($D$5*$D$8)/($D$14*$D$18))</f>
        <v>0</v>
      </c>
      <c r="F49" s="107">
        <f>IF((F48-($F$40+$F$41))*($D$5*$D$8)/($D$14*$D$18)&lt;0,0,(F48-($F$40+$F$41))*($D$5*$D$8)/($D$14*$D$18))</f>
        <v>7.8571428571428488</v>
      </c>
      <c r="G49" s="108">
        <f>(G48-($F$40+$F$41))*($D$5*$D$8)/($D$14*$D$18)</f>
        <v>24.999999999999993</v>
      </c>
      <c r="H49" s="107">
        <f>IF((H48-($F$40+$F$41))*($D$5*$D$8)/($D$14*$D$18)&lt;0,0,(H48-($F$40+$F$41))*($D$5*$D$8)/($D$14*$D$18))</f>
        <v>42.14285714285711</v>
      </c>
      <c r="I49" s="107">
        <f>IF((I48-($F$40+$F$41))*($D$5*$D$8)/($D$14*$D$18)&lt;0,0,(I48-($F$40+$F$41))*($D$5*$D$8)/($D$14*$D$18))</f>
        <v>59.285714285714249</v>
      </c>
      <c r="J49" s="109">
        <f>IF((J48-($F$40+$F$41))*($D$5*$D$8)/($D$14*$D$18)&lt;0,0,(J48-($F$40+$F$41))*($D$5*$D$8)/($D$14*$D$18))</f>
        <v>76.428571428571388</v>
      </c>
    </row>
    <row r="50" spans="1:17" x14ac:dyDescent="0.3">
      <c r="B50" s="110" t="str">
        <f>"¢/lb DM standing corn @ "&amp;D15&amp;" miles hauled"</f>
        <v>¢/lb DM standing corn @ 25 miles hauled</v>
      </c>
      <c r="C50" s="111"/>
      <c r="D50" s="118">
        <f>IF(((D48-$F$42-$F$41)/2000)/(($D7))*100&lt;0,0,((D48-$F$42-$F$41)/2000)/(($D7))*100)</f>
        <v>3.3571428571428572</v>
      </c>
      <c r="E50" s="112">
        <f>IF(((E48-$F$42-$F$41)/2000)/(($D7))*100&lt;0,0,((E48-$F$42-$F$41)/2000)/(($D7))*100)</f>
        <v>4.0714285714285721</v>
      </c>
      <c r="F50" s="112">
        <f>IF(((F48-$F$42-$F$41)/2000)/(($D7))*100&lt;0,0,((F48-$F$42-$F$41)/2000)/(($D7))*100)</f>
        <v>4.7857142857142865</v>
      </c>
      <c r="G50" s="113">
        <f>((G48-$F$42-$F$41)/2000)/(($D7))*100</f>
        <v>5.5</v>
      </c>
      <c r="H50" s="112">
        <f>IF(((H48-$F$42-$F$41)/2000)/(($D7))*100&lt;0,0,((H48-$F$42-$F$41)/2000)/(($D7))*100)</f>
        <v>6.2142857142857135</v>
      </c>
      <c r="I50" s="112">
        <f>IF(((I48-$F$42-$F$41)/2000)/(($D7))*100&lt;0,0,((I48-$F$42-$F$41)/2000)/(($D7))*100)</f>
        <v>6.9285714285714288</v>
      </c>
      <c r="J50" s="114">
        <f>IF(((J48-$F$42-$F$41)/2000)/(($D7))*100&lt;0,0,((J48-$F$42-$F$41)/2000)/(($D7))*100)</f>
        <v>7.6428571428571415</v>
      </c>
    </row>
    <row r="51" spans="1:17" ht="7.5" customHeight="1" x14ac:dyDescent="0.3">
      <c r="F51" s="54"/>
      <c r="H51" s="54"/>
    </row>
    <row r="52" spans="1:17" x14ac:dyDescent="0.3">
      <c r="B52" s="154" t="s">
        <v>27</v>
      </c>
      <c r="C52" s="154"/>
      <c r="D52" s="60">
        <v>5</v>
      </c>
      <c r="F52" s="54"/>
      <c r="H52" s="54"/>
    </row>
    <row r="53" spans="1:17" ht="7.5" customHeight="1" x14ac:dyDescent="0.3">
      <c r="B53" s="50"/>
      <c r="C53" s="50"/>
      <c r="D53" s="51"/>
      <c r="E53" s="25"/>
      <c r="F53" s="51"/>
      <c r="G53" s="25"/>
      <c r="H53" s="51"/>
      <c r="I53" s="25"/>
      <c r="J53" s="51"/>
    </row>
    <row r="54" spans="1:17" ht="20.25" customHeight="1" x14ac:dyDescent="0.3">
      <c r="A54" s="20" t="s">
        <v>98</v>
      </c>
      <c r="B54" s="20"/>
      <c r="C54" s="20"/>
      <c r="D54" s="18"/>
      <c r="E54" s="18"/>
      <c r="F54" s="18"/>
      <c r="G54" s="18"/>
      <c r="H54" s="18"/>
      <c r="I54" s="18"/>
      <c r="J54" s="18"/>
      <c r="K54" s="18"/>
    </row>
    <row r="55" spans="1:17" ht="7.5" customHeight="1" x14ac:dyDescent="0.3">
      <c r="B55" s="71"/>
      <c r="C55" s="50"/>
      <c r="D55" s="51"/>
      <c r="E55" s="25"/>
      <c r="F55" s="51"/>
      <c r="G55" s="25"/>
      <c r="H55" s="51"/>
      <c r="I55" s="25"/>
      <c r="J55" s="51"/>
      <c r="M55" s="8"/>
      <c r="N55" s="8"/>
    </row>
    <row r="56" spans="1:17" s="8" customFormat="1" ht="15.9" customHeight="1" x14ac:dyDescent="0.25">
      <c r="A56" s="8" t="s">
        <v>66</v>
      </c>
      <c r="B56" s="33" t="s">
        <v>106</v>
      </c>
      <c r="C56" s="33"/>
      <c r="D56" s="84">
        <v>40</v>
      </c>
      <c r="E56" s="81" t="s">
        <v>126</v>
      </c>
      <c r="G56" s="97"/>
      <c r="I56" s="33"/>
      <c r="O56" s="77"/>
      <c r="P56" s="77"/>
      <c r="Q56" s="77"/>
    </row>
    <row r="57" spans="1:17" s="8" customFormat="1" ht="15.9" customHeight="1" x14ac:dyDescent="0.25">
      <c r="A57" s="8" t="s">
        <v>87</v>
      </c>
      <c r="B57" s="33" t="s">
        <v>82</v>
      </c>
      <c r="C57" s="33"/>
      <c r="D57" s="82">
        <v>5.5</v>
      </c>
      <c r="E57" s="78" t="s">
        <v>81</v>
      </c>
      <c r="I57" s="33"/>
    </row>
    <row r="58" spans="1:17" s="8" customFormat="1" ht="15.9" customHeight="1" x14ac:dyDescent="0.25">
      <c r="A58" s="8" t="s">
        <v>88</v>
      </c>
      <c r="B58" s="85" t="s">
        <v>83</v>
      </c>
      <c r="C58" s="85"/>
      <c r="D58" s="83">
        <f>F58/D56</f>
        <v>0.875</v>
      </c>
      <c r="E58" s="78" t="s">
        <v>81</v>
      </c>
      <c r="F58" s="82">
        <v>35</v>
      </c>
      <c r="G58" s="78" t="s">
        <v>52</v>
      </c>
      <c r="I58" s="33"/>
    </row>
    <row r="59" spans="1:17" s="8" customFormat="1" ht="15.9" customHeight="1" x14ac:dyDescent="0.25">
      <c r="A59" s="33" t="s">
        <v>89</v>
      </c>
      <c r="B59" s="85" t="s">
        <v>84</v>
      </c>
      <c r="C59" s="85"/>
      <c r="D59" s="82">
        <v>0.15</v>
      </c>
      <c r="E59" s="78" t="s">
        <v>81</v>
      </c>
      <c r="H59" s="33"/>
      <c r="I59" s="33"/>
    </row>
    <row r="60" spans="1:17" s="8" customFormat="1" ht="15.9" customHeight="1" x14ac:dyDescent="0.25">
      <c r="A60" s="33" t="s">
        <v>90</v>
      </c>
      <c r="B60" s="85" t="s">
        <v>85</v>
      </c>
      <c r="C60" s="85"/>
      <c r="D60" s="82">
        <v>0.14000000000000001</v>
      </c>
      <c r="E60" s="78" t="s">
        <v>81</v>
      </c>
      <c r="H60" s="33"/>
      <c r="I60" s="33"/>
    </row>
    <row r="61" spans="1:17" s="8" customFormat="1" ht="15.9" customHeight="1" x14ac:dyDescent="0.25">
      <c r="A61" s="33" t="s">
        <v>91</v>
      </c>
      <c r="B61" s="33" t="s">
        <v>99</v>
      </c>
      <c r="C61" s="33"/>
      <c r="D61" s="75">
        <f>D57-D58-D59-D60</f>
        <v>4.335</v>
      </c>
      <c r="E61" s="78" t="s">
        <v>81</v>
      </c>
      <c r="H61" s="33"/>
    </row>
    <row r="62" spans="1:17" s="8" customFormat="1" ht="15.9" customHeight="1" x14ac:dyDescent="0.3">
      <c r="A62" s="33" t="s">
        <v>92</v>
      </c>
      <c r="B62" s="33" t="s">
        <v>100</v>
      </c>
      <c r="C62" s="33"/>
      <c r="D62" s="86">
        <f>IF(F62&gt;0,0,D61*D56)</f>
        <v>173.4</v>
      </c>
      <c r="E62" s="78" t="s">
        <v>128</v>
      </c>
      <c r="F62" s="127">
        <v>0</v>
      </c>
      <c r="G62" s="78" t="s">
        <v>127</v>
      </c>
    </row>
    <row r="63" spans="1:17" s="8" customFormat="1" ht="15.9" customHeight="1" x14ac:dyDescent="0.25">
      <c r="A63" s="33" t="s">
        <v>93</v>
      </c>
      <c r="B63" s="33" t="s">
        <v>125</v>
      </c>
      <c r="C63" s="33"/>
      <c r="D63" s="86">
        <f>D62/D8</f>
        <v>19.266666666666666</v>
      </c>
      <c r="E63" s="78" t="s">
        <v>50</v>
      </c>
      <c r="F63" s="75">
        <f>F62/D8</f>
        <v>0</v>
      </c>
      <c r="G63" s="78" t="s">
        <v>50</v>
      </c>
    </row>
    <row r="64" spans="1:17" s="8" customFormat="1" ht="15.9" customHeight="1" x14ac:dyDescent="0.3">
      <c r="A64" s="33" t="s">
        <v>94</v>
      </c>
      <c r="B64" s="33" t="s">
        <v>101</v>
      </c>
      <c r="C64" s="33"/>
      <c r="D64" s="86">
        <f>D63/D7</f>
        <v>55.047619047619051</v>
      </c>
      <c r="E64" s="78" t="s">
        <v>50</v>
      </c>
      <c r="F64" s="75">
        <f>F63/D7</f>
        <v>0</v>
      </c>
      <c r="G64" s="78" t="s">
        <v>50</v>
      </c>
      <c r="I64" s="33"/>
      <c r="M64"/>
      <c r="N64"/>
      <c r="O64" s="80"/>
      <c r="P64" s="79"/>
      <c r="Q64" s="79"/>
    </row>
    <row r="65" spans="1:11" x14ac:dyDescent="0.3">
      <c r="A65" s="33" t="s">
        <v>104</v>
      </c>
      <c r="B65" s="33" t="s">
        <v>102</v>
      </c>
      <c r="C65" s="50"/>
      <c r="D65" s="87">
        <f>SUM(D63/2000)*100</f>
        <v>0.96333333333333326</v>
      </c>
      <c r="E65" s="8" t="s">
        <v>48</v>
      </c>
      <c r="F65" s="52">
        <f>SUM(F63/2000)*100</f>
        <v>0</v>
      </c>
      <c r="G65" s="8" t="s">
        <v>48</v>
      </c>
      <c r="I65" s="25"/>
      <c r="J65" s="51"/>
    </row>
    <row r="66" spans="1:11" x14ac:dyDescent="0.3">
      <c r="A66" s="33" t="s">
        <v>95</v>
      </c>
      <c r="B66" s="33" t="s">
        <v>103</v>
      </c>
      <c r="C66" s="50"/>
      <c r="D66" s="87">
        <f>SUM(D64/2000)*100</f>
        <v>2.7523809523809528</v>
      </c>
      <c r="E66" s="8" t="s">
        <v>48</v>
      </c>
      <c r="F66" s="52">
        <f>SUM(F64/2000)*100</f>
        <v>0</v>
      </c>
      <c r="G66" s="8" t="s">
        <v>48</v>
      </c>
      <c r="I66" s="25"/>
      <c r="J66" s="51"/>
    </row>
    <row r="67" spans="1:11" x14ac:dyDescent="0.3">
      <c r="A67" s="33" t="s">
        <v>96</v>
      </c>
      <c r="B67" s="8" t="str">
        <f>"Standing Crop per "&amp;TEXT(D8*D5,"#,###")&amp;" Tons (AxAG)"</f>
        <v>Standing Crop per 1,440 Tons (AxAG)</v>
      </c>
      <c r="D67" s="51">
        <f>D5*D62</f>
        <v>27744</v>
      </c>
      <c r="F67" s="51">
        <f>D5*F62</f>
        <v>0</v>
      </c>
      <c r="H67"/>
      <c r="J67" s="48"/>
    </row>
    <row r="68" spans="1:11" ht="7.5" customHeight="1" x14ac:dyDescent="0.3">
      <c r="B68" s="71"/>
      <c r="C68" s="50"/>
      <c r="D68" s="51"/>
      <c r="E68" s="25"/>
      <c r="F68" s="51"/>
      <c r="G68" s="25"/>
      <c r="H68" s="51"/>
      <c r="I68" s="25"/>
      <c r="J68" s="51"/>
    </row>
    <row r="69" spans="1:11" ht="30" customHeight="1" x14ac:dyDescent="0.3">
      <c r="D69" s="47" t="s">
        <v>20</v>
      </c>
      <c r="E69" s="25"/>
      <c r="F69" s="47" t="s">
        <v>5</v>
      </c>
      <c r="G69" s="25"/>
      <c r="H69" s="47" t="s">
        <v>23</v>
      </c>
      <c r="I69" s="25"/>
      <c r="J69" s="126" t="str">
        <f>"Price / "&amp;TEXT(D8*D5,"#,###")&amp;" Tons "</f>
        <v xml:space="preserve">Price / 1,440 Tons </v>
      </c>
    </row>
    <row r="70" spans="1:11" x14ac:dyDescent="0.3">
      <c r="B70" s="8" t="s">
        <v>14</v>
      </c>
      <c r="D70" s="48">
        <f>IF(F62=0,D62,F62)</f>
        <v>173.4</v>
      </c>
      <c r="E70" s="74" t="s">
        <v>119</v>
      </c>
      <c r="F70" s="48">
        <f>IF(F62=0,D63,F63)</f>
        <v>19.266666666666666</v>
      </c>
      <c r="G70" s="74" t="s">
        <v>120</v>
      </c>
      <c r="H70" s="48">
        <f>IF(F62=0,D64,F64)</f>
        <v>55.047619047619051</v>
      </c>
      <c r="I70" s="74" t="s">
        <v>121</v>
      </c>
      <c r="J70" s="48">
        <f>IF(F62=0,D67,F67)</f>
        <v>27744</v>
      </c>
      <c r="K70" s="74" t="s">
        <v>122</v>
      </c>
    </row>
    <row r="71" spans="1:11" x14ac:dyDescent="0.3">
      <c r="B71" s="8" t="s">
        <v>13</v>
      </c>
      <c r="D71" s="48">
        <f>$D$22</f>
        <v>126</v>
      </c>
      <c r="E71" s="74" t="s">
        <v>108</v>
      </c>
      <c r="F71" s="48">
        <f>$D$20</f>
        <v>14</v>
      </c>
      <c r="G71" s="74" t="s">
        <v>111</v>
      </c>
      <c r="H71" s="48">
        <f>$D$21</f>
        <v>40</v>
      </c>
      <c r="I71" s="74" t="s">
        <v>114</v>
      </c>
      <c r="J71" s="48">
        <f>$D$23</f>
        <v>20160</v>
      </c>
      <c r="K71" s="74" t="s">
        <v>117</v>
      </c>
    </row>
    <row r="72" spans="1:11" x14ac:dyDescent="0.3">
      <c r="B72" s="8" t="str">
        <f>"Total freight cost ($"&amp;TEXT(D14*D15,"#,###")&amp;"/load)"</f>
        <v>Total freight cost ($175/load)</v>
      </c>
      <c r="D72" s="49">
        <f>$D$27</f>
        <v>65.625</v>
      </c>
      <c r="E72" s="74" t="s">
        <v>109</v>
      </c>
      <c r="F72" s="49">
        <f>$D$25</f>
        <v>7.291666666666667</v>
      </c>
      <c r="G72" s="74" t="s">
        <v>112</v>
      </c>
      <c r="H72" s="49">
        <f>$D$26</f>
        <v>20.83</v>
      </c>
      <c r="I72" s="74" t="s">
        <v>115</v>
      </c>
      <c r="J72" s="49">
        <f>$D$28</f>
        <v>10500</v>
      </c>
      <c r="K72" s="74" t="s">
        <v>118</v>
      </c>
    </row>
    <row r="73" spans="1:11" x14ac:dyDescent="0.3">
      <c r="B73" s="50" t="s">
        <v>2</v>
      </c>
      <c r="C73" s="50"/>
      <c r="D73" s="51">
        <f>SUM(D70:D72)</f>
        <v>365.02499999999998</v>
      </c>
      <c r="E73" s="25"/>
      <c r="F73" s="51">
        <f>SUM(F70:F72)</f>
        <v>40.55833333333333</v>
      </c>
      <c r="G73" s="25"/>
      <c r="H73" s="51">
        <f>SUM(H70:H72)</f>
        <v>115.87761904761905</v>
      </c>
      <c r="I73" s="25"/>
      <c r="J73" s="51">
        <f>SUM(J70:J72)</f>
        <v>58404</v>
      </c>
    </row>
    <row r="74" spans="1:11" x14ac:dyDescent="0.3">
      <c r="B74" s="50"/>
      <c r="C74" s="50"/>
      <c r="D74" s="51"/>
      <c r="E74" s="25"/>
      <c r="F74" s="99" t="str">
        <f>"("&amp;ROUND((F73/2000)*100,2)&amp;" ¢/lb)"</f>
        <v>(2.03 ¢/lb)</v>
      </c>
      <c r="H74" s="99" t="str">
        <f>"("&amp;ROUND((H73/2000)*100,2)&amp;" ¢/lb)"</f>
        <v>(5.79 ¢/lb)</v>
      </c>
      <c r="I74" s="25"/>
      <c r="J74" s="51"/>
    </row>
    <row r="75" spans="1:11" ht="7.5" customHeight="1" x14ac:dyDescent="0.3">
      <c r="F75" s="54"/>
      <c r="H75" s="54"/>
    </row>
    <row r="76" spans="1:11" ht="15" customHeight="1" x14ac:dyDescent="0.3">
      <c r="A76"/>
      <c r="B76" s="116" t="s">
        <v>124</v>
      </c>
      <c r="C76" s="102"/>
      <c r="D76" s="103"/>
      <c r="E76" s="103"/>
      <c r="F76" s="104"/>
      <c r="G76" s="104"/>
      <c r="H76" s="104"/>
      <c r="I76" s="104"/>
      <c r="J76" s="105"/>
      <c r="K76" s="31"/>
    </row>
    <row r="77" spans="1:11" x14ac:dyDescent="0.3">
      <c r="A77" s="101"/>
      <c r="B77" s="66"/>
      <c r="C77" s="115"/>
      <c r="D77" s="139" t="s">
        <v>26</v>
      </c>
      <c r="E77" s="140"/>
      <c r="F77" s="140"/>
      <c r="G77" s="140"/>
      <c r="H77" s="140"/>
      <c r="I77" s="140"/>
      <c r="J77" s="141"/>
    </row>
    <row r="78" spans="1:11" x14ac:dyDescent="0.3">
      <c r="B78" s="67" t="s">
        <v>28</v>
      </c>
      <c r="C78" s="100"/>
      <c r="D78" s="61">
        <f>$G$78-($D$82*3)</f>
        <v>26</v>
      </c>
      <c r="E78" s="62">
        <f>$G$78-($D$82*2)</f>
        <v>31</v>
      </c>
      <c r="F78" s="62">
        <f>$G$78-$D$82</f>
        <v>36</v>
      </c>
      <c r="G78" s="64">
        <f>ROUND(F73,0)</f>
        <v>41</v>
      </c>
      <c r="H78" s="62">
        <f>$G$78+$D$82</f>
        <v>46</v>
      </c>
      <c r="I78" s="62">
        <f>$G$78+($D$82*2)</f>
        <v>51</v>
      </c>
      <c r="J78" s="63">
        <f>$G$78+($D$82*3)</f>
        <v>56</v>
      </c>
    </row>
    <row r="79" spans="1:11" x14ac:dyDescent="0.3">
      <c r="B79" s="106" t="str">
        <f>"Miles Hauled @ $"&amp;TEXT(IF(F62=0,D62,F62),"0.00")&amp;"/acre value of standing corn"</f>
        <v>Miles Hauled @ $173.40/acre value of standing corn</v>
      </c>
      <c r="C79" s="68"/>
      <c r="D79" s="117">
        <f>IF((D78-($F$70+$F$71))*($D$5*$D$8)/($D$14*$D$18)&lt;0,0,(D78-($F$70+$F$71))*($D$5*$D$8)/($D$14*$D$18))</f>
        <v>0</v>
      </c>
      <c r="E79" s="119">
        <f>IF((E78-($F$70+$F$71))*($D$5*$D$8)/($D$14*$D$18)&lt;0,0,(E78-($F$70+$F$71))*($D$5*$D$8)/($D$14*$D$18))</f>
        <v>0</v>
      </c>
      <c r="F79" s="119">
        <f>IF((F78-($F$70+$F$71))*($D$5*$D$8)/($D$14*$D$18)&lt;0,0,(F78-($F$70+$F$71))*($D$5*$D$8)/($D$14*$D$18))</f>
        <v>9.3714285714285754</v>
      </c>
      <c r="G79" s="120">
        <f>(G78-($F$70+$F$71))*($D$5*$D$8)/($D$14*$D$18)</f>
        <v>26.51428571428572</v>
      </c>
      <c r="H79" s="119">
        <f>IF((H78-($F$70+$F$71))*($D$5*$D$8)/($D$14*$D$18)&lt;0,0,(H78-($F$70+$F$71))*($D$5*$D$8)/($D$14*$D$18))</f>
        <v>43.657142857142858</v>
      </c>
      <c r="I79" s="119">
        <f>IF((I78-($F$70+$F$71))*($D$5*$D$8)/($D$14*$D$18)&lt;0,0,(I78-($F$70+$F$71))*($D$5*$D$8)/($D$14*$D$18))</f>
        <v>60.8</v>
      </c>
      <c r="J79" s="121">
        <f>IF((J78-($F$70+$F$71))*($D$5*$D$8)/($D$14*$D$18)&lt;0,0,(J78-($F$70+$F$71))*($D$5*$D$8)/($D$14*$D$18))</f>
        <v>77.942857142857136</v>
      </c>
    </row>
    <row r="80" spans="1:11" x14ac:dyDescent="0.3">
      <c r="B80" s="110" t="str">
        <f>"$/acre value of standing corn @ "&amp;D15&amp;" miles hauled"</f>
        <v>$/acre value of standing corn @ 25 miles hauled</v>
      </c>
      <c r="C80" s="111"/>
      <c r="D80" s="122">
        <f>IF(((D78-$F$72-$F$71)*$D$8)&lt;0,0,((D78-$F$72-$F$71)*$D$8))</f>
        <v>42.374999999999986</v>
      </c>
      <c r="E80" s="123">
        <f>IF(((E78-$F$72-$F$71)*$D$8)&lt;0,0,((E78-$F$72-$F$71)*$D$8))</f>
        <v>87.374999999999986</v>
      </c>
      <c r="F80" s="123">
        <f>IF(((F78-$F$72-$F$71)*$D$8)&lt;0,0,((F78-$F$72-$F$71)*$D$8))</f>
        <v>132.375</v>
      </c>
      <c r="G80" s="124">
        <f>((G78-$F$72-$F$71)*$D$8)</f>
        <v>177.37500000000003</v>
      </c>
      <c r="H80" s="123">
        <f>IF(((H78-$F$72-$F$71)*$D$8)&lt;0,0,((H78-$F$72-$F$71)*$D$8))</f>
        <v>222.37500000000003</v>
      </c>
      <c r="I80" s="123">
        <f>IF(((I78-$F$72-$F$71)*$D$8)&lt;0,0,((I78-$F$72-$F$71)*$D$8))</f>
        <v>267.375</v>
      </c>
      <c r="J80" s="125">
        <f>IF(((J78-$F$72-$F$71)*$D$8)&lt;0,0,((J78-$F$72-$F$71)*$D$8))</f>
        <v>312.375</v>
      </c>
    </row>
    <row r="81" spans="1:15" ht="7.5" customHeight="1" x14ac:dyDescent="0.3">
      <c r="F81" s="54"/>
      <c r="H81" s="54"/>
    </row>
    <row r="82" spans="1:15" x14ac:dyDescent="0.3">
      <c r="B82" s="154" t="s">
        <v>27</v>
      </c>
      <c r="C82" s="154"/>
      <c r="D82" s="60">
        <v>5</v>
      </c>
      <c r="F82" s="54"/>
      <c r="H82" s="54"/>
    </row>
    <row r="83" spans="1:15" ht="15" customHeight="1" x14ac:dyDescent="0.3">
      <c r="F83" s="54"/>
      <c r="H83" s="54"/>
    </row>
    <row r="84" spans="1:15" ht="20.25" customHeight="1" x14ac:dyDescent="0.3">
      <c r="A84" s="20" t="s">
        <v>24</v>
      </c>
      <c r="B84" s="20"/>
      <c r="C84" s="20"/>
      <c r="D84" s="21"/>
      <c r="E84" s="21"/>
      <c r="F84" s="18"/>
      <c r="G84" s="18"/>
      <c r="H84" s="18"/>
      <c r="I84" s="18"/>
      <c r="J84" s="18"/>
      <c r="K84" s="18"/>
      <c r="L84" s="31"/>
      <c r="M84" s="31"/>
      <c r="N84" s="31"/>
    </row>
    <row r="85" spans="1:15" s="32" customFormat="1" ht="7.5" customHeight="1" x14ac:dyDescent="0.3">
      <c r="A85" s="39"/>
      <c r="B85" s="39"/>
      <c r="C85" s="39"/>
      <c r="D85" s="33"/>
      <c r="E85" s="33"/>
      <c r="F85" s="33"/>
      <c r="G85" s="33"/>
      <c r="H85" s="33"/>
      <c r="I85" s="33"/>
      <c r="J85" s="33"/>
      <c r="K85" s="33"/>
      <c r="L85" s="33"/>
      <c r="M85" s="31"/>
      <c r="N85" s="31"/>
      <c r="O85" s="31"/>
    </row>
    <row r="86" spans="1:15" s="32" customFormat="1" ht="15.75" customHeight="1" x14ac:dyDescent="0.3">
      <c r="B86" s="142" t="s">
        <v>21</v>
      </c>
      <c r="C86" s="143"/>
      <c r="D86" s="136" t="s">
        <v>16</v>
      </c>
      <c r="E86" s="137"/>
      <c r="F86" s="137"/>
      <c r="G86" s="137"/>
      <c r="H86" s="137"/>
      <c r="I86" s="138"/>
      <c r="J86" s="41"/>
      <c r="K86" s="33"/>
      <c r="L86" s="31"/>
      <c r="M86" s="31"/>
      <c r="N86" s="31"/>
      <c r="O86" s="31"/>
    </row>
    <row r="87" spans="1:15" s="32" customFormat="1" ht="15.75" customHeight="1" x14ac:dyDescent="0.3">
      <c r="B87" s="144" t="s">
        <v>17</v>
      </c>
      <c r="C87" s="145"/>
      <c r="D87" s="34">
        <v>500</v>
      </c>
      <c r="E87" s="35">
        <f>SUM(D87+$D$98)</f>
        <v>750</v>
      </c>
      <c r="F87" s="35">
        <f>SUM(E87+$D$98)</f>
        <v>1000</v>
      </c>
      <c r="G87" s="35">
        <f t="shared" ref="G87:I87" si="1">SUM(F87+$D$98)</f>
        <v>1250</v>
      </c>
      <c r="H87" s="35">
        <f t="shared" si="1"/>
        <v>1500</v>
      </c>
      <c r="I87" s="36">
        <f t="shared" si="1"/>
        <v>1750</v>
      </c>
      <c r="K87" s="33"/>
      <c r="L87" s="31"/>
      <c r="M87" s="31"/>
      <c r="N87" s="31"/>
      <c r="O87" s="31"/>
    </row>
    <row r="88" spans="1:15" s="32" customFormat="1" ht="15.75" customHeight="1" x14ac:dyDescent="0.3">
      <c r="B88" s="146">
        <v>25</v>
      </c>
      <c r="C88" s="147"/>
      <c r="D88" s="37">
        <f t="shared" ref="D88:D95" si="2">SUM($D$87/B88)</f>
        <v>20</v>
      </c>
      <c r="E88" s="37">
        <f t="shared" ref="E88:E95" si="3">SUM($E$87/B88)</f>
        <v>30</v>
      </c>
      <c r="F88" s="37">
        <f t="shared" ref="F88:F95" si="4">SUM($F$87/B88)</f>
        <v>40</v>
      </c>
      <c r="G88" s="37">
        <f t="shared" ref="G88:G95" si="5">SUM($G$87/B88)</f>
        <v>50</v>
      </c>
      <c r="H88" s="37">
        <f t="shared" ref="H88:H95" si="6">SUM($H$87/B88)</f>
        <v>60</v>
      </c>
      <c r="I88" s="38">
        <f t="shared" ref="I88:I95" si="7">SUM($I$87/B88)</f>
        <v>70</v>
      </c>
      <c r="K88" s="33"/>
      <c r="L88" s="31"/>
      <c r="M88" s="31"/>
      <c r="N88" s="31"/>
      <c r="O88" s="31"/>
    </row>
    <row r="89" spans="1:15" s="32" customFormat="1" ht="15.75" customHeight="1" x14ac:dyDescent="0.3">
      <c r="B89" s="148">
        <f>SUM(B88+$D$97)</f>
        <v>50</v>
      </c>
      <c r="C89" s="149"/>
      <c r="D89" s="37">
        <f t="shared" si="2"/>
        <v>10</v>
      </c>
      <c r="E89" s="37">
        <f t="shared" si="3"/>
        <v>15</v>
      </c>
      <c r="F89" s="37">
        <f t="shared" si="4"/>
        <v>20</v>
      </c>
      <c r="G89" s="37">
        <f t="shared" si="5"/>
        <v>25</v>
      </c>
      <c r="H89" s="37">
        <f t="shared" si="6"/>
        <v>30</v>
      </c>
      <c r="I89" s="38">
        <f t="shared" si="7"/>
        <v>35</v>
      </c>
      <c r="K89" s="33"/>
      <c r="L89" s="31"/>
      <c r="M89" s="31"/>
      <c r="N89" s="31"/>
      <c r="O89" s="31"/>
    </row>
    <row r="90" spans="1:15" s="32" customFormat="1" ht="15.75" customHeight="1" x14ac:dyDescent="0.3">
      <c r="B90" s="148">
        <f t="shared" ref="B90:B94" si="8">SUM(B89+$D$97)</f>
        <v>75</v>
      </c>
      <c r="C90" s="149"/>
      <c r="D90" s="37">
        <f t="shared" si="2"/>
        <v>6.666666666666667</v>
      </c>
      <c r="E90" s="37">
        <f t="shared" si="3"/>
        <v>10</v>
      </c>
      <c r="F90" s="37">
        <f t="shared" si="4"/>
        <v>13.333333333333334</v>
      </c>
      <c r="G90" s="37">
        <f t="shared" si="5"/>
        <v>16.666666666666668</v>
      </c>
      <c r="H90" s="37">
        <f t="shared" si="6"/>
        <v>20</v>
      </c>
      <c r="I90" s="38">
        <f t="shared" si="7"/>
        <v>23.333333333333332</v>
      </c>
      <c r="K90" s="33"/>
      <c r="L90" s="31"/>
      <c r="M90" s="31"/>
      <c r="N90" s="31"/>
      <c r="O90" s="31"/>
    </row>
    <row r="91" spans="1:15" s="32" customFormat="1" ht="15.75" customHeight="1" x14ac:dyDescent="0.3">
      <c r="B91" s="148">
        <f t="shared" si="8"/>
        <v>100</v>
      </c>
      <c r="C91" s="149"/>
      <c r="D91" s="37">
        <f t="shared" si="2"/>
        <v>5</v>
      </c>
      <c r="E91" s="37">
        <f t="shared" si="3"/>
        <v>7.5</v>
      </c>
      <c r="F91" s="37">
        <f t="shared" si="4"/>
        <v>10</v>
      </c>
      <c r="G91" s="37">
        <f t="shared" si="5"/>
        <v>12.5</v>
      </c>
      <c r="H91" s="37">
        <f t="shared" si="6"/>
        <v>15</v>
      </c>
      <c r="I91" s="38">
        <f t="shared" si="7"/>
        <v>17.5</v>
      </c>
      <c r="K91" s="33"/>
      <c r="L91" s="31"/>
      <c r="M91" s="31"/>
      <c r="N91" s="31"/>
      <c r="O91" s="31"/>
    </row>
    <row r="92" spans="1:15" s="32" customFormat="1" ht="15.75" customHeight="1" x14ac:dyDescent="0.3">
      <c r="B92" s="148">
        <f t="shared" si="8"/>
        <v>125</v>
      </c>
      <c r="C92" s="149"/>
      <c r="D92" s="37">
        <f t="shared" si="2"/>
        <v>4</v>
      </c>
      <c r="E92" s="37">
        <f t="shared" si="3"/>
        <v>6</v>
      </c>
      <c r="F92" s="37">
        <f t="shared" si="4"/>
        <v>8</v>
      </c>
      <c r="G92" s="37">
        <f t="shared" si="5"/>
        <v>10</v>
      </c>
      <c r="H92" s="37">
        <f t="shared" si="6"/>
        <v>12</v>
      </c>
      <c r="I92" s="38">
        <f t="shared" si="7"/>
        <v>14</v>
      </c>
      <c r="K92" s="33"/>
      <c r="L92" s="31"/>
      <c r="M92" s="31"/>
      <c r="N92" s="31"/>
      <c r="O92" s="31"/>
    </row>
    <row r="93" spans="1:15" s="32" customFormat="1" ht="15.75" customHeight="1" x14ac:dyDescent="0.3">
      <c r="B93" s="148">
        <f t="shared" si="8"/>
        <v>150</v>
      </c>
      <c r="C93" s="149"/>
      <c r="D93" s="37">
        <f t="shared" si="2"/>
        <v>3.3333333333333335</v>
      </c>
      <c r="E93" s="37">
        <f t="shared" si="3"/>
        <v>5</v>
      </c>
      <c r="F93" s="37">
        <f t="shared" si="4"/>
        <v>6.666666666666667</v>
      </c>
      <c r="G93" s="37">
        <f t="shared" si="5"/>
        <v>8.3333333333333339</v>
      </c>
      <c r="H93" s="37">
        <f t="shared" si="6"/>
        <v>10</v>
      </c>
      <c r="I93" s="38">
        <f t="shared" si="7"/>
        <v>11.666666666666666</v>
      </c>
      <c r="K93" s="33"/>
      <c r="L93" s="31"/>
      <c r="M93" s="31"/>
      <c r="N93" s="31"/>
      <c r="O93" s="31"/>
    </row>
    <row r="94" spans="1:15" s="32" customFormat="1" ht="15.75" customHeight="1" x14ac:dyDescent="0.3">
      <c r="B94" s="148">
        <f t="shared" si="8"/>
        <v>175</v>
      </c>
      <c r="C94" s="149"/>
      <c r="D94" s="37">
        <f t="shared" si="2"/>
        <v>2.8571428571428572</v>
      </c>
      <c r="E94" s="37">
        <f t="shared" si="3"/>
        <v>4.2857142857142856</v>
      </c>
      <c r="F94" s="37">
        <f t="shared" si="4"/>
        <v>5.7142857142857144</v>
      </c>
      <c r="G94" s="37">
        <f t="shared" si="5"/>
        <v>7.1428571428571432</v>
      </c>
      <c r="H94" s="37">
        <f t="shared" si="6"/>
        <v>8.5714285714285712</v>
      </c>
      <c r="I94" s="38">
        <f t="shared" si="7"/>
        <v>10</v>
      </c>
      <c r="K94" s="33"/>
      <c r="L94" s="31"/>
      <c r="M94" s="31"/>
      <c r="N94" s="31"/>
      <c r="O94" s="31"/>
    </row>
    <row r="95" spans="1:15" s="32" customFormat="1" ht="15.75" customHeight="1" x14ac:dyDescent="0.3">
      <c r="B95" s="144">
        <f>SUM(B94+D97)</f>
        <v>200</v>
      </c>
      <c r="C95" s="156"/>
      <c r="D95" s="42">
        <f t="shared" si="2"/>
        <v>2.5</v>
      </c>
      <c r="E95" s="42">
        <f t="shared" si="3"/>
        <v>3.75</v>
      </c>
      <c r="F95" s="42">
        <f t="shared" si="4"/>
        <v>5</v>
      </c>
      <c r="G95" s="42">
        <f t="shared" si="5"/>
        <v>6.25</v>
      </c>
      <c r="H95" s="42">
        <f t="shared" si="6"/>
        <v>7.5</v>
      </c>
      <c r="I95" s="43">
        <f t="shared" si="7"/>
        <v>8.75</v>
      </c>
      <c r="K95" s="31"/>
      <c r="L95" s="31"/>
      <c r="M95" s="31"/>
      <c r="N95" s="31"/>
      <c r="O95" s="31"/>
    </row>
    <row r="96" spans="1:15" s="32" customFormat="1" ht="7.5" customHeight="1" x14ac:dyDescent="0.3">
      <c r="A96" s="39"/>
      <c r="B96" s="39"/>
      <c r="C96" s="39"/>
      <c r="D96" s="37"/>
      <c r="E96" s="37"/>
      <c r="F96" s="37"/>
      <c r="G96" s="37"/>
      <c r="H96" s="37"/>
      <c r="I96" s="37"/>
      <c r="J96" s="33"/>
      <c r="K96" s="33"/>
      <c r="L96" s="31"/>
      <c r="M96" s="31"/>
      <c r="N96" s="31"/>
    </row>
    <row r="97" spans="1:15" s="32" customFormat="1" ht="15.75" customHeight="1" x14ac:dyDescent="0.3">
      <c r="B97" s="155" t="s">
        <v>18</v>
      </c>
      <c r="C97" s="155"/>
      <c r="D97" s="98">
        <v>25</v>
      </c>
      <c r="E97" s="37"/>
      <c r="F97" s="33"/>
      <c r="G97" s="33"/>
      <c r="H97" s="37"/>
      <c r="I97" s="37"/>
      <c r="J97" s="33"/>
      <c r="K97" s="33"/>
      <c r="L97" s="31"/>
      <c r="M97" s="31"/>
      <c r="N97" s="31"/>
    </row>
    <row r="98" spans="1:15" s="32" customFormat="1" ht="15.75" customHeight="1" x14ac:dyDescent="0.3">
      <c r="B98" s="155" t="s">
        <v>19</v>
      </c>
      <c r="C98" s="155"/>
      <c r="D98" s="60">
        <v>250</v>
      </c>
      <c r="E98" s="33"/>
      <c r="F98" s="33"/>
      <c r="G98" s="33"/>
      <c r="H98" s="33"/>
      <c r="I98" s="33"/>
      <c r="J98" s="33"/>
      <c r="K98" s="33"/>
      <c r="L98" s="31"/>
      <c r="M98" s="31"/>
      <c r="N98" s="31"/>
    </row>
    <row r="99" spans="1:15" s="32" customFormat="1" ht="15.75" customHeight="1" x14ac:dyDescent="0.3">
      <c r="A99" s="55" t="s">
        <v>25</v>
      </c>
      <c r="B99" s="55"/>
      <c r="C99" s="55"/>
      <c r="D99" s="40"/>
      <c r="E99" s="33"/>
      <c r="F99" s="33"/>
      <c r="G99" s="33"/>
      <c r="H99" s="33"/>
      <c r="I99" s="33"/>
      <c r="J99" s="33"/>
      <c r="K99" s="33"/>
      <c r="L99" s="58"/>
      <c r="M99" s="58"/>
      <c r="N99" s="58"/>
    </row>
    <row r="100" spans="1:15" s="59" customFormat="1" ht="15.75" customHeight="1" x14ac:dyDescent="0.3">
      <c r="A100" s="133"/>
      <c r="B100" s="128" t="s">
        <v>133</v>
      </c>
      <c r="C100" s="56"/>
      <c r="D100" s="40"/>
      <c r="E100" s="57"/>
      <c r="F100" s="57"/>
      <c r="G100" s="57"/>
      <c r="H100" s="57"/>
      <c r="I100" s="57"/>
      <c r="J100" s="57"/>
      <c r="K100" s="57"/>
      <c r="L100" s="58"/>
      <c r="M100" s="58"/>
      <c r="N100" s="58"/>
    </row>
    <row r="101" spans="1:15" s="59" customFormat="1" ht="15.75" customHeight="1" x14ac:dyDescent="0.3">
      <c r="B101" s="128" t="s">
        <v>132</v>
      </c>
      <c r="C101" s="128"/>
      <c r="D101" s="40"/>
      <c r="E101" s="57"/>
      <c r="F101" s="57"/>
      <c r="G101" s="57"/>
      <c r="H101" s="57"/>
      <c r="I101" s="57"/>
      <c r="J101" s="57"/>
      <c r="K101" s="57"/>
      <c r="L101" s="58"/>
      <c r="M101" s="58"/>
      <c r="N101" s="58"/>
    </row>
    <row r="102" spans="1:15" s="59" customFormat="1" ht="15.75" customHeight="1" x14ac:dyDescent="0.3">
      <c r="B102" s="128" t="s">
        <v>134</v>
      </c>
      <c r="C102" s="56"/>
      <c r="D102" s="40"/>
      <c r="E102" s="57"/>
      <c r="F102" s="57"/>
      <c r="G102" s="57"/>
      <c r="H102" s="57"/>
      <c r="I102" s="57"/>
      <c r="J102" s="57"/>
      <c r="K102" s="57"/>
      <c r="L102" s="8"/>
      <c r="M102"/>
      <c r="N102"/>
    </row>
    <row r="103" spans="1:15" ht="7.5" customHeight="1" x14ac:dyDescent="0.3"/>
    <row r="104" spans="1:15" ht="12.75" customHeight="1" x14ac:dyDescent="0.3">
      <c r="A104" s="134" t="s">
        <v>130</v>
      </c>
      <c r="B104" s="134"/>
      <c r="C104" s="134"/>
      <c r="D104" s="134"/>
      <c r="E104" s="134"/>
      <c r="F104" s="134"/>
      <c r="G104" s="134"/>
      <c r="H104" s="134"/>
      <c r="I104" s="134"/>
      <c r="J104" s="134"/>
      <c r="K104" s="134"/>
    </row>
    <row r="105" spans="1:15" ht="12.75" customHeight="1" x14ac:dyDescent="0.3">
      <c r="A105" s="134"/>
      <c r="B105" s="134"/>
      <c r="C105" s="134"/>
      <c r="D105" s="134"/>
      <c r="E105" s="134"/>
      <c r="F105" s="134"/>
      <c r="G105" s="134"/>
      <c r="H105" s="134"/>
      <c r="I105" s="134"/>
      <c r="J105" s="134"/>
      <c r="K105" s="134"/>
    </row>
    <row r="106" spans="1:15" ht="16.5" customHeight="1" x14ac:dyDescent="0.3">
      <c r="A106" s="134"/>
      <c r="B106" s="134"/>
      <c r="C106" s="134"/>
      <c r="D106" s="134"/>
      <c r="E106" s="134"/>
      <c r="F106" s="134"/>
      <c r="G106" s="134"/>
      <c r="H106" s="134"/>
      <c r="I106" s="134"/>
      <c r="J106" s="134"/>
      <c r="K106" s="134"/>
    </row>
    <row r="107" spans="1:15" ht="19.5" customHeight="1" x14ac:dyDescent="0.3">
      <c r="A107" s="1"/>
      <c r="B107" s="1"/>
      <c r="C107" s="1"/>
      <c r="D107" s="1"/>
      <c r="E107" s="1"/>
      <c r="F107" s="1"/>
      <c r="G107" s="1"/>
      <c r="H107" s="1"/>
      <c r="I107" s="1"/>
      <c r="J107" s="73"/>
      <c r="K107" s="2" t="s">
        <v>131</v>
      </c>
    </row>
    <row r="108" spans="1:15" ht="20.25" customHeight="1" x14ac:dyDescent="0.3">
      <c r="A108" s="3"/>
      <c r="B108" s="3"/>
      <c r="C108" s="3"/>
      <c r="D108" s="3"/>
      <c r="E108" s="3"/>
      <c r="F108" s="3"/>
      <c r="G108" s="3"/>
      <c r="H108" s="3"/>
      <c r="I108" s="3"/>
      <c r="L108" s="5"/>
      <c r="M108" s="4"/>
      <c r="N108" s="5"/>
    </row>
    <row r="109" spans="1:15" x14ac:dyDescent="0.3">
      <c r="A109" s="16"/>
      <c r="B109" s="16"/>
      <c r="C109" s="16"/>
      <c r="D109" s="17"/>
      <c r="J109" s="5"/>
      <c r="L109" s="5"/>
      <c r="M109" s="7"/>
      <c r="N109" s="5"/>
      <c r="O109" s="5"/>
    </row>
    <row r="110" spans="1:15" x14ac:dyDescent="0.3">
      <c r="A110" s="6"/>
      <c r="B110" s="6"/>
      <c r="C110" s="6"/>
      <c r="D110" s="6"/>
      <c r="J110" s="5"/>
      <c r="O110" s="5"/>
    </row>
  </sheetData>
  <sheetProtection algorithmName="SHA-512" hashValue="ybqX2x4j00tYhAY4vjAecQzHgQSYRqZpwsFTe8fwdP1OK0JbUbO9ULTV4AbcU/XD9K8zdyerurk4YiX7QofYRQ==" saltValue="ekirVyRNe89gEJwnnHaASw==" spinCount="100000" sheet="1" objects="1" scenarios="1"/>
  <mergeCells count="25">
    <mergeCell ref="B92:C92"/>
    <mergeCell ref="B93:C93"/>
    <mergeCell ref="B94:C94"/>
    <mergeCell ref="B95:C95"/>
    <mergeCell ref="H8:J9"/>
    <mergeCell ref="H10:H12"/>
    <mergeCell ref="I10:J10"/>
    <mergeCell ref="E11:G13"/>
    <mergeCell ref="D77:J77"/>
    <mergeCell ref="A104:K106"/>
    <mergeCell ref="J3:K3"/>
    <mergeCell ref="D86:I86"/>
    <mergeCell ref="D47:J47"/>
    <mergeCell ref="B86:C86"/>
    <mergeCell ref="B87:C87"/>
    <mergeCell ref="B88:C88"/>
    <mergeCell ref="B89:C89"/>
    <mergeCell ref="B90:C90"/>
    <mergeCell ref="I11:I12"/>
    <mergeCell ref="J11:J12"/>
    <mergeCell ref="B52:C52"/>
    <mergeCell ref="B97:C97"/>
    <mergeCell ref="B98:C98"/>
    <mergeCell ref="B82:C82"/>
    <mergeCell ref="B91:C91"/>
  </mergeCells>
  <conditionalFormatting sqref="D88:I95">
    <cfRule type="expression" dxfId="0" priority="1">
      <formula>"if+$B$4&lt;10"</formula>
    </cfRule>
  </conditionalFormatting>
  <hyperlinks>
    <hyperlink ref="B102" r:id="rId1" display="https://extension.missouri.edu/g4591" xr:uid="{00000000-0004-0000-0000-000002000000}"/>
    <hyperlink ref="B101" r:id="rId2" xr:uid="{07F9D813-AEEB-4E75-A7FD-A0732CE5AE93}"/>
    <hyperlink ref="B100" r:id="rId3" xr:uid="{A9961D58-835F-4723-B43E-11EDAF9F6F35}"/>
  </hyperlinks>
  <pageMargins left="0.7" right="0.7" top="0.75" bottom="0.75" header="0.3" footer="0.3"/>
  <pageSetup scale="64" orientation="portrait" r:id="rId4"/>
  <rowBreaks count="1" manualBreakCount="1">
    <brk id="53" max="10" man="1"/>
  </rowBreaks>
  <colBreaks count="1" manualBreakCount="1">
    <brk id="11" max="1048575" man="1"/>
  </colBreaks>
  <ignoredErrors>
    <ignoredError sqref="G49:G50 G79:G80" formula="1"/>
  </ignoredErrors>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C3257931C4EB4CBE667AF33D71167E" ma:contentTypeVersion="3" ma:contentTypeDescription="Create a new document." ma:contentTypeScope="" ma:versionID="40765f1e47717a1969b3d26f47aa1f88">
  <xsd:schema xmlns:xsd="http://www.w3.org/2001/XMLSchema" xmlns:xs="http://www.w3.org/2001/XMLSchema" xmlns:p="http://schemas.microsoft.com/office/2006/metadata/properties" xmlns:ns1="http://schemas.microsoft.com/sharepoint/v3" targetNamespace="http://schemas.microsoft.com/office/2006/metadata/properties" ma:root="true" ma:fieldsID="b665880aa3952302b15396eac48c336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55CEB66-4C87-4F53-9CB6-D0F82029DAA8}"/>
</file>

<file path=customXml/itemProps2.xml><?xml version="1.0" encoding="utf-8"?>
<ds:datastoreItem xmlns:ds="http://schemas.openxmlformats.org/officeDocument/2006/customXml" ds:itemID="{EB414BE7-82BB-43C3-894B-FF338D9C557C}"/>
</file>

<file path=customXml/itemProps3.xml><?xml version="1.0" encoding="utf-8"?>
<ds:datastoreItem xmlns:ds="http://schemas.openxmlformats.org/officeDocument/2006/customXml" ds:itemID="{B98F877D-B54B-4DCB-BCB5-F13273D135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Standing Corn</vt:lpstr>
      <vt:lpstr>'Standing Corn'!Print_Area</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Buying Standing Corn Decision Calculator</dc:title>
  <dc:creator>bhamm</dc:creator>
  <cp:lastModifiedBy>Berthelette, Crystal</cp:lastModifiedBy>
  <cp:lastPrinted>2022-09-20T21:07:10Z</cp:lastPrinted>
  <dcterms:created xsi:type="dcterms:W3CDTF">2021-07-15T15:56:45Z</dcterms:created>
  <dcterms:modified xsi:type="dcterms:W3CDTF">2024-10-01T17:22:47Z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0x01010007C3257931C4EB4CBE667AF33D71167E</vt:lpwstr>
  </property>
</Properties>
</file>