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P:\D03\Farm Management\Production Economics\Ready to post to website\"/>
    </mc:Choice>
  </mc:AlternateContent>
  <xr:revisionPtr revIDLastSave="0" documentId="13_ncr:1_{AC130EF9-1C1A-425F-BF83-26ED6BD77DF5}" xr6:coauthVersionLast="47" xr6:coauthVersionMax="47" xr10:uidLastSave="{00000000-0000-0000-0000-000000000000}"/>
  <workbookProtection workbookAlgorithmName="SHA-512" workbookHashValue="sWHrkMU7fvRXoWsDaFdzcGJtywFOAkeTqbJlRlcOWn+ie2RgS5UwmZ7oHeflqmlc3CuXEygiG3TmtbDFjTud1w==" workbookSaltValue="MEfLDKJu/VqQirspXQLkZQ==" workbookSpinCount="100000" lockStructure="1"/>
  <bookViews>
    <workbookView xWindow="-108" yWindow="-108" windowWidth="23256" windowHeight="12576" xr2:uid="{00000000-000D-0000-FFFF-FFFF00000000}"/>
  </bookViews>
  <sheets>
    <sheet name="Pasture" sheetId="4" r:id="rId1"/>
    <sheet name="Fence Cost &amp; AUM Analysis" sheetId="2" r:id="rId2"/>
    <sheet name="OLD" sheetId="1" state="hidden" r:id="rId3"/>
  </sheets>
  <definedNames>
    <definedName name="\A">#REF!</definedName>
    <definedName name="\B">#REF!</definedName>
    <definedName name="\C">#N/A</definedName>
    <definedName name="\D">#N/A</definedName>
    <definedName name="\E">#REF!</definedName>
    <definedName name="\F">#REF!</definedName>
    <definedName name="\H">#N/A</definedName>
    <definedName name="\I">#N/A</definedName>
    <definedName name="\K">#N/A</definedName>
    <definedName name="\L">#REF!</definedName>
    <definedName name="\N">#N/A</definedName>
    <definedName name="\O">#REF!</definedName>
    <definedName name="\P">#N/A</definedName>
    <definedName name="\R">#REF!</definedName>
    <definedName name="\S">#N/A</definedName>
    <definedName name="\T">#REF!</definedName>
    <definedName name="\U">#REF!</definedName>
    <definedName name="\W">#N/A</definedName>
    <definedName name="\X">#N/A</definedName>
    <definedName name="\Y">#REF!</definedName>
    <definedName name="ALL">#N/A</definedName>
    <definedName name="_xlnm.Print_Area" localSheetId="0">Pasture!$A$1:$K$78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2" l="1"/>
  <c r="K54" i="2"/>
  <c r="E45" i="2"/>
  <c r="F45" i="2"/>
  <c r="G45" i="2"/>
  <c r="H45" i="2"/>
  <c r="I45" i="2"/>
  <c r="J45" i="2"/>
  <c r="K45" i="2"/>
  <c r="I68" i="4"/>
  <c r="E66" i="4"/>
  <c r="K62" i="4"/>
  <c r="J62" i="4"/>
  <c r="H62" i="4"/>
  <c r="G62" i="4"/>
  <c r="F62" i="4"/>
  <c r="E62" i="4"/>
  <c r="I8" i="4"/>
  <c r="I11" i="4"/>
  <c r="I13" i="4" s="1"/>
  <c r="D9" i="4"/>
  <c r="D13" i="4"/>
  <c r="K3" i="4"/>
  <c r="E17" i="4"/>
  <c r="G57" i="4"/>
  <c r="F57" i="4"/>
  <c r="G34" i="4"/>
  <c r="G43" i="4" s="1"/>
  <c r="G46" i="4" s="1"/>
  <c r="F34" i="4"/>
  <c r="F43" i="4" s="1"/>
  <c r="F46" i="4" s="1"/>
  <c r="F28" i="4"/>
  <c r="F29" i="4" s="1"/>
  <c r="F44" i="2" s="1"/>
  <c r="F54" i="2" s="1"/>
  <c r="G28" i="4"/>
  <c r="G29" i="4" s="1"/>
  <c r="G44" i="2" s="1"/>
  <c r="G54" i="2" s="1"/>
  <c r="E34" i="4"/>
  <c r="E43" i="4" s="1"/>
  <c r="E46" i="4" s="1"/>
  <c r="D31" i="2"/>
  <c r="G23" i="2"/>
  <c r="F23" i="2"/>
  <c r="E23" i="2"/>
  <c r="G22" i="2"/>
  <c r="F22" i="2"/>
  <c r="E22" i="2"/>
  <c r="G21" i="2"/>
  <c r="F21" i="2"/>
  <c r="E21" i="2"/>
  <c r="G20" i="2"/>
  <c r="F20" i="2"/>
  <c r="E20" i="2"/>
  <c r="G19" i="2"/>
  <c r="F19" i="2"/>
  <c r="E19" i="2"/>
  <c r="H8" i="2"/>
  <c r="H7" i="2"/>
  <c r="H6" i="2"/>
  <c r="H5" i="2"/>
  <c r="H4" i="2"/>
  <c r="E57" i="4"/>
  <c r="E12" i="4" s="1"/>
  <c r="E8" i="4" s="1"/>
  <c r="K55" i="4"/>
  <c r="J55" i="4"/>
  <c r="D51" i="4"/>
  <c r="K54" i="4" s="1"/>
  <c r="J54" i="4"/>
  <c r="E28" i="4"/>
  <c r="E29" i="4" s="1"/>
  <c r="E44" i="2" s="1"/>
  <c r="E54" i="2" s="1"/>
  <c r="H28" i="4"/>
  <c r="H29" i="4" s="1"/>
  <c r="K28" i="4"/>
  <c r="K29" i="4"/>
  <c r="K56" i="2" s="1"/>
  <c r="J28" i="4"/>
  <c r="J29" i="4"/>
  <c r="J44" i="2" s="1"/>
  <c r="J54" i="2" s="1"/>
  <c r="F19" i="4"/>
  <c r="G48" i="2" s="1"/>
  <c r="C19" i="4"/>
  <c r="E9" i="1"/>
  <c r="E8" i="1"/>
  <c r="C42" i="1"/>
  <c r="C44" i="1" s="1"/>
  <c r="C41" i="1"/>
  <c r="C29" i="1"/>
  <c r="C26" i="1"/>
  <c r="C43" i="1"/>
  <c r="C33" i="1"/>
  <c r="C35" i="1" s="1"/>
  <c r="C36" i="1" s="1"/>
  <c r="C34" i="1"/>
  <c r="C28" i="1"/>
  <c r="E7" i="1"/>
  <c r="D42" i="1"/>
  <c r="E47" i="1"/>
  <c r="E48" i="1" s="1"/>
  <c r="C47" i="1"/>
  <c r="C48" i="1"/>
  <c r="C50" i="1" s="1"/>
  <c r="C51" i="1" s="1"/>
  <c r="C25" i="1"/>
  <c r="H3" i="1"/>
  <c r="C27" i="1"/>
  <c r="E18" i="1"/>
  <c r="E20" i="1" s="1"/>
  <c r="E21" i="1" s="1"/>
  <c r="E19" i="1"/>
  <c r="C18" i="1"/>
  <c r="C20" i="1" s="1"/>
  <c r="C21" i="1" s="1"/>
  <c r="C19" i="1"/>
  <c r="E33" i="1"/>
  <c r="E34" i="1" s="1"/>
  <c r="G68" i="4" l="1"/>
  <c r="G64" i="4"/>
  <c r="E50" i="1"/>
  <c r="E51" i="1" s="1"/>
  <c r="E49" i="1"/>
  <c r="G12" i="4"/>
  <c r="G8" i="4" s="1"/>
  <c r="F12" i="4"/>
  <c r="F8" i="4" s="1"/>
  <c r="C17" i="1"/>
  <c r="E17" i="1"/>
  <c r="E35" i="1"/>
  <c r="E36" i="1" s="1"/>
  <c r="G49" i="2"/>
  <c r="H34" i="4"/>
  <c r="H43" i="4" s="1"/>
  <c r="C49" i="1"/>
  <c r="J56" i="2"/>
  <c r="J48" i="2"/>
  <c r="I48" i="2"/>
  <c r="I51" i="2" s="1"/>
  <c r="I7" i="4"/>
  <c r="I9" i="4" s="1"/>
  <c r="K48" i="2"/>
  <c r="H48" i="2"/>
  <c r="E48" i="2"/>
  <c r="E49" i="2" s="1"/>
  <c r="F48" i="2"/>
  <c r="F49" i="2" s="1"/>
  <c r="E24" i="2"/>
  <c r="E26" i="2" s="1"/>
  <c r="E27" i="2" s="1"/>
  <c r="E35" i="2" s="1"/>
  <c r="G24" i="2"/>
  <c r="G26" i="2" s="1"/>
  <c r="G27" i="2" s="1"/>
  <c r="H42" i="4" s="1"/>
  <c r="F24" i="2"/>
  <c r="F26" i="2" s="1"/>
  <c r="F27" i="2" s="1"/>
  <c r="F34" i="2" s="1"/>
  <c r="H44" i="2"/>
  <c r="H54" i="2" s="1"/>
  <c r="H49" i="2"/>
  <c r="G11" i="4"/>
  <c r="G51" i="2"/>
  <c r="F11" i="4"/>
  <c r="F64" i="4"/>
  <c r="F68" i="4"/>
  <c r="E64" i="4"/>
  <c r="E11" i="4"/>
  <c r="E68" i="4"/>
  <c r="H46" i="4" l="1"/>
  <c r="H11" i="4" s="1"/>
  <c r="E51" i="2"/>
  <c r="E34" i="2"/>
  <c r="F51" i="2"/>
  <c r="K50" i="2"/>
  <c r="K49" i="2"/>
  <c r="J50" i="2"/>
  <c r="J49" i="2"/>
  <c r="E36" i="2"/>
  <c r="J42" i="4"/>
  <c r="J46" i="4" s="1"/>
  <c r="J11" i="4" s="1"/>
  <c r="J7" i="4" s="1"/>
  <c r="F35" i="2"/>
  <c r="K42" i="4"/>
  <c r="K46" i="4" s="1"/>
  <c r="K11" i="4" s="1"/>
  <c r="K7" i="4" s="1"/>
  <c r="F36" i="2"/>
  <c r="G35" i="2"/>
  <c r="G34" i="2"/>
  <c r="G36" i="2"/>
  <c r="G13" i="4"/>
  <c r="G7" i="4"/>
  <c r="G9" i="4" s="1"/>
  <c r="F7" i="4"/>
  <c r="F9" i="4" s="1"/>
  <c r="F13" i="4"/>
  <c r="E7" i="4"/>
  <c r="E9" i="4" s="1"/>
  <c r="E13" i="4"/>
  <c r="E37" i="2" l="1"/>
  <c r="J56" i="4" s="1"/>
  <c r="J57" i="4" s="1"/>
  <c r="J64" i="4" s="1"/>
  <c r="F37" i="2"/>
  <c r="K56" i="4" s="1"/>
  <c r="K57" i="4" s="1"/>
  <c r="K68" i="4" s="1"/>
  <c r="G37" i="2"/>
  <c r="H56" i="4" s="1"/>
  <c r="H57" i="4" s="1"/>
  <c r="H7" i="4"/>
  <c r="J51" i="2" l="1"/>
  <c r="J12" i="4"/>
  <c r="J13" i="4" s="1"/>
  <c r="J68" i="4"/>
  <c r="K64" i="4"/>
  <c r="K51" i="2"/>
  <c r="K12" i="4"/>
  <c r="K8" i="4" s="1"/>
  <c r="K9" i="4" s="1"/>
  <c r="H51" i="2"/>
  <c r="H64" i="4"/>
  <c r="H68" i="4"/>
  <c r="H12" i="4"/>
  <c r="J8" i="4" l="1"/>
  <c r="J9" i="4" s="1"/>
  <c r="K13" i="4"/>
  <c r="H8" i="4"/>
  <c r="H9" i="4" s="1"/>
  <c r="H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Roy Arnott</author>
  </authors>
  <commentList>
    <comment ref="D19" authorId="0" shapeId="0" xr:uid="{00000000-0006-0000-0000-000001000000}">
      <text>
        <r>
          <rPr>
            <sz val="9"/>
            <color indexed="81"/>
            <rFont val="Tahoma"/>
            <family val="2"/>
          </rPr>
          <t>Pasture grazing days t
ypically between 100 to to 185 days.</t>
        </r>
      </text>
    </comment>
    <comment ref="E23" authorId="0" shapeId="0" xr:uid="{00000000-0006-0000-0000-000002000000}">
      <text>
        <r>
          <rPr>
            <sz val="9"/>
            <color indexed="81"/>
            <rFont val="Tahoma"/>
            <family val="2"/>
          </rPr>
          <t xml:space="preserve">Enter land value per acre.  Values are typically based on assessed value or productive value  rather than solely on market or trade value.  </t>
        </r>
      </text>
    </comment>
    <comment ref="F23" authorId="0" shapeId="0" xr:uid="{00000000-0006-0000-0000-000003000000}">
      <text>
        <r>
          <rPr>
            <sz val="9"/>
            <color indexed="81"/>
            <rFont val="Tahoma"/>
            <family val="2"/>
          </rPr>
          <t xml:space="preserve">Enter land value per acre.  Values are typically based on assessed value or productive value  rather than solely on market or trade value.  </t>
        </r>
      </text>
    </comment>
    <comment ref="G23" authorId="0" shapeId="0" xr:uid="{00000000-0006-0000-0000-000004000000}">
      <text>
        <r>
          <rPr>
            <sz val="9"/>
            <color indexed="81"/>
            <rFont val="Tahoma"/>
            <family val="2"/>
          </rPr>
          <t xml:space="preserve">Enter land value per acre.  Values are typically based on assessed value or productive value  rather than solely on market or trade value.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Roy Arnott</author>
  </authors>
  <commentList>
    <comment ref="B9" authorId="0" shapeId="0" xr:uid="{00000000-0006-0000-0200-000001000000}">
      <text>
        <r>
          <rPr>
            <sz val="9"/>
            <color indexed="81"/>
            <rFont val="Tahoma"/>
            <family val="2"/>
          </rPr>
          <t xml:space="preserve">AUM is the amount of forage needed by an “animal unit” (AU) grazing for one month. The quantity of forage needed is based on the cow’s metabolic weight, and the animal unit is defined as one mature 1,000 pound cow and her suckling calf. It is assumed that such a cow nursing her calf will consume 26 pounds of dry matter (DM) of forage per day (20 lbs for the cow and 6 lbs for the calf).
Various other types of stock are assigned AUM equivalents based on size and consumption. For example, a mature bull is the equivalent of 1.3 AU, a yearling steer or heifer is 0.67 AU and a weaned calf is 0.5 AU. </t>
        </r>
      </text>
    </comment>
  </commentList>
</comments>
</file>

<file path=xl/sharedStrings.xml><?xml version="1.0" encoding="utf-8"?>
<sst xmlns="http://schemas.openxmlformats.org/spreadsheetml/2006/main" count="293" uniqueCount="135">
  <si>
    <t>Number of Pasture Acres</t>
  </si>
  <si>
    <t>Low Range</t>
  </si>
  <si>
    <t>High Range</t>
  </si>
  <si>
    <t>1) Renting by the Acre - Based on Land value:</t>
  </si>
  <si>
    <t>Number of Cow Calf Pairs Grazed</t>
  </si>
  <si>
    <t>Months Grazed</t>
  </si>
  <si>
    <t>Beef Cow Weight (lbs.)</t>
  </si>
  <si>
    <t>Pasture Rent/AUM</t>
  </si>
  <si>
    <t>Animal Unit Months (AUM's)</t>
  </si>
  <si>
    <t>Total Pasture Rent</t>
  </si>
  <si>
    <t>Land Value/Acre</t>
  </si>
  <si>
    <t>Land Tax/Acre</t>
  </si>
  <si>
    <t>Expected Annual Return</t>
  </si>
  <si>
    <t>Pasture Rent/Acre</t>
  </si>
  <si>
    <t>Pasture Rent/Head/Season</t>
  </si>
  <si>
    <t>Pasture Rent/Head/Day</t>
  </si>
  <si>
    <t>Input Data:</t>
  </si>
  <si>
    <t>Printed:</t>
  </si>
  <si>
    <t>. . . . . . . . . . . . . . . . . . . . . . . . . . . . . . . . . . . . . . . . . . .</t>
  </si>
  <si>
    <t xml:space="preserve">For more information, contact your local </t>
  </si>
  <si>
    <t>Benjamin Hamm</t>
  </si>
  <si>
    <t>Roy Arnott</t>
  </si>
  <si>
    <r>
      <t xml:space="preserve">*** Enter changes to </t>
    </r>
    <r>
      <rPr>
        <b/>
        <sz val="10"/>
        <color indexed="12"/>
        <rFont val="Arial"/>
        <family val="2"/>
      </rPr>
      <t>BLUE</t>
    </r>
    <r>
      <rPr>
        <b/>
        <sz val="10"/>
        <color indexed="48"/>
        <rFont val="Arial"/>
        <family val="2"/>
      </rPr>
      <t xml:space="preserve"> </t>
    </r>
    <r>
      <rPr>
        <b/>
        <sz val="10"/>
        <rFont val="Arial"/>
        <family val="2"/>
      </rPr>
      <t>values only ***</t>
    </r>
  </si>
  <si>
    <t>Pasture Rental Rate Calculator</t>
  </si>
  <si>
    <t>Cow Calf Pair AU value</t>
  </si>
  <si>
    <t>2) Renting by the Animal Unit Month (AUM) - Baseline</t>
  </si>
  <si>
    <t>3) Renting by the Animal Unit Month (AUM) - Comparative Animal Size</t>
  </si>
  <si>
    <t>Days Grazed</t>
  </si>
  <si>
    <r>
      <t>Note:</t>
    </r>
    <r>
      <rPr>
        <sz val="10"/>
        <rFont val="Arial"/>
        <family val="2"/>
      </rPr>
      <t xml:space="preserve"> This budget is only a guide and is not intended to be an in-depth study of the cost of production of this industry. Interpretation and utilization of this information is the responsibility of the user. </t>
    </r>
  </si>
  <si>
    <t xml:space="preserve">Created and maintained by </t>
  </si>
  <si>
    <t>Farm Management Specialist</t>
  </si>
  <si>
    <t>Successfully managing and planning your business success starts with you. Contact your local 
                                                      for the support, advice and resources you need to make sound 
decisions for the continued success of your farm business.  If you have questions,                                                                
and a                                                      will contact you.</t>
  </si>
  <si>
    <t>A/Manager - Farm Management Section</t>
  </si>
  <si>
    <t>June, 2020</t>
  </si>
  <si>
    <t>Calf Crop</t>
  </si>
  <si>
    <t>%</t>
  </si>
  <si>
    <t>days</t>
  </si>
  <si>
    <t>months</t>
  </si>
  <si>
    <t>Crown Lands</t>
  </si>
  <si>
    <t>Community Pasture</t>
  </si>
  <si>
    <t>Number of cows/quarter</t>
  </si>
  <si>
    <t xml:space="preserve"> - </t>
  </si>
  <si>
    <t>Number of pasture acres/head</t>
  </si>
  <si>
    <t>Total Acres Required</t>
  </si>
  <si>
    <t>Rental Rate ($/quarter)</t>
  </si>
  <si>
    <t>Rate ($/cow/day)</t>
  </si>
  <si>
    <t>Rate ($/calf/season)</t>
  </si>
  <si>
    <t>Owned Land Equity</t>
  </si>
  <si>
    <t>Land Financed</t>
  </si>
  <si>
    <r>
      <t xml:space="preserve">Land Opportunity Cost </t>
    </r>
    <r>
      <rPr>
        <sz val="10"/>
        <rFont val="Arial"/>
        <family val="2"/>
      </rPr>
      <t xml:space="preserve">(Investment Rate) </t>
    </r>
  </si>
  <si>
    <t>Finance Rate &amp; Term</t>
  </si>
  <si>
    <t>years</t>
  </si>
  <si>
    <t>Principle &amp; Interest Cost</t>
  </si>
  <si>
    <t xml:space="preserve">Pasture Fencing - Input </t>
  </si>
  <si>
    <t>Fence Cost Per Mile</t>
  </si>
  <si>
    <t>Materials</t>
  </si>
  <si>
    <t>Labour</t>
  </si>
  <si>
    <t>Equipment</t>
  </si>
  <si>
    <t>Total</t>
  </si>
  <si>
    <t>Barbed Wire (4 strand)</t>
  </si>
  <si>
    <t>Electric Wire (4 strand)</t>
  </si>
  <si>
    <t>Electric Wire (2 strand)</t>
  </si>
  <si>
    <t>Electric Wire (1 strand)</t>
  </si>
  <si>
    <t>Page Wire (w/optional top wire)</t>
  </si>
  <si>
    <t>Fence Miles per Quarter (160 ac)</t>
  </si>
  <si>
    <t>Cost Per Quarter (160 acres)</t>
  </si>
  <si>
    <t>Total Fence Cost</t>
  </si>
  <si>
    <t>Total Fence Investment ($/acre)</t>
  </si>
  <si>
    <t>Residual Value (End of Useful Life)</t>
  </si>
  <si>
    <t>Useful Life (years)</t>
  </si>
  <si>
    <t>Owned Fence Equity</t>
  </si>
  <si>
    <t>Fence Financed</t>
  </si>
  <si>
    <t>Fencing Cost ($/acre)</t>
  </si>
  <si>
    <t>Fencing Depreciation Cost</t>
  </si>
  <si>
    <t xml:space="preserve">Owned Fence Opportunity Cost </t>
  </si>
  <si>
    <t>Total Cost</t>
  </si>
  <si>
    <t>Fence Maintenance (% of investment cost)</t>
  </si>
  <si>
    <t>A. Operating Costs</t>
  </si>
  <si>
    <t>Land Development ($/acre)</t>
  </si>
  <si>
    <t>Fertilizer - Annual ($/acre)</t>
  </si>
  <si>
    <t>Herbicide ($/acre)</t>
  </si>
  <si>
    <t>Fence Maintenance ($/acre)</t>
  </si>
  <si>
    <t>Taxes ($/acre)</t>
  </si>
  <si>
    <t>Miscellaneous ($/acre)</t>
  </si>
  <si>
    <t>Total Operating Costs ($/acre)</t>
  </si>
  <si>
    <t>B. Fixed Costs</t>
  </si>
  <si>
    <t>Fencing ($/acre)</t>
  </si>
  <si>
    <t>Total Total Fixed Costs ($/acre)</t>
  </si>
  <si>
    <t>Pasture Options - Carrying Capacity and AUM Analysis</t>
  </si>
  <si>
    <t>Carrying Capacity</t>
  </si>
  <si>
    <t>Number of head pastured/acre</t>
  </si>
  <si>
    <t>Metabolic Animal Unit Value</t>
  </si>
  <si>
    <t>AUM Analysis</t>
  </si>
  <si>
    <t xml:space="preserve">Total Animal Unit Months (AUM's) </t>
  </si>
  <si>
    <t xml:space="preserve">Total AUM's - Available Per Acre </t>
  </si>
  <si>
    <t>Pasture Investment per AUM</t>
  </si>
  <si>
    <t>Total Pasture Cost Per AUM</t>
  </si>
  <si>
    <t>Pasture Efficency Analysis</t>
  </si>
  <si>
    <t>Pounds liveweight per acre</t>
  </si>
  <si>
    <t>Pasture Investment per Cow on Pasture</t>
  </si>
  <si>
    <t>Pasture Rental ($/acre)</t>
  </si>
  <si>
    <t>Owned Marginal Pasture</t>
  </si>
  <si>
    <t>Owned Improved Pasture</t>
  </si>
  <si>
    <t>Rented Pasture Option #2</t>
  </si>
  <si>
    <t>Rented Pasture Option #1</t>
  </si>
  <si>
    <t>Rented Pasture Option #3</t>
  </si>
  <si>
    <t>Principle &amp; Interest Cost ($/acre)</t>
  </si>
  <si>
    <t>Owned Land Opportunity Cost ($/acre)</t>
  </si>
  <si>
    <t>Owned Pasture Land Value ($/acre)</t>
  </si>
  <si>
    <t xml:space="preserve">   (excl. fence, water, facilities)</t>
  </si>
  <si>
    <t>Land Tax ($/acre)</t>
  </si>
  <si>
    <t>Landowner Expected Annual Return</t>
  </si>
  <si>
    <t>Average Cow Weight (lbs.)</t>
  </si>
  <si>
    <t xml:space="preserve">Days Grazing </t>
  </si>
  <si>
    <t>. . . . . . . . . . . . . . . . . . . . . . . . . . . . . . . . . . . . . . . . . . . . . . . . . . . . . . . . . . . . . . . .</t>
  </si>
  <si>
    <t>Pasture Options - Cost Summary &amp; Comparison</t>
  </si>
  <si>
    <t xml:space="preserve">Operating Costs </t>
  </si>
  <si>
    <t>Cost per cow per season:</t>
  </si>
  <si>
    <t xml:space="preserve">Fixed Costs </t>
  </si>
  <si>
    <t>Cost per cow per day:</t>
  </si>
  <si>
    <t xml:space="preserve">Operating Cost </t>
  </si>
  <si>
    <t xml:space="preserve">Fixed Cost </t>
  </si>
  <si>
    <t>Grazing Input Data</t>
  </si>
  <si>
    <t>Pasture Cost - Input</t>
  </si>
  <si>
    <t>Risk &amp; Sensitivity Analysis (Stress Test)</t>
  </si>
  <si>
    <t>Change in Grazing Days</t>
  </si>
  <si>
    <t>Change in Stocking Rate/quarter</t>
  </si>
  <si>
    <t>Amount Added</t>
  </si>
  <si>
    <r>
      <t>Note:</t>
    </r>
    <r>
      <rPr>
        <sz val="10"/>
        <rFont val="Arial"/>
        <family val="2"/>
      </rPr>
      <t xml:space="preserve"> This budget is only a guide and is not intended to be an in-depth study of the cost of production of this industry. The calculated values do not necessarily represent the average pasture rental rates in Manitoba. Interpretation and utilization of this information is the responsibility of the user. </t>
    </r>
  </si>
  <si>
    <t>Land Value (local market or assessed value $/acre)</t>
  </si>
  <si>
    <t>Crown Land Pasture Rate ($/AUM)</t>
  </si>
  <si>
    <t>Crown Land - Property Tax Payable ($/quarter)</t>
  </si>
  <si>
    <t>Crown Land Admin Fee ($/quarter)</t>
  </si>
  <si>
    <t>Changed Cost per Day ($/cow)</t>
  </si>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</sst>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quot;$&quot;#,##0"/>
    <numFmt numFmtId="7" formatCode="&quot;$&quot;#,##0.00;\-&quot;$&quot;#,##0.00"/>
    <numFmt numFmtId="8" formatCode="&quot;$&quot;#,##0.00;[Red]\-&quot;$&quot;#,##0.00"/>
    <numFmt numFmtId="42" formatCode="_-&quot;$&quot;* #,##0_-;\-&quot;$&quot;* #,##0_-;_-&quot;$&quot;* &quot;-&quot;_-;_-@_-"/>
    <numFmt numFmtId="44" formatCode="_-&quot;$&quot;* #,##0.00_-;\-&quot;$&quot;* #,##0.00_-;_-&quot;$&quot;* &quot;-&quot;??_-;_-@_-"/>
    <numFmt numFmtId="164" formatCode="0.0%"/>
    <numFmt numFmtId="165" formatCode="&quot;$&quot;#,##0.00"/>
    <numFmt numFmtId="166" formatCode="&quot;$&quot;#,##0_);\(&quot;$&quot;#,##0\)"/>
    <numFmt numFmtId="167" formatCode="#,##0.0"/>
    <numFmt numFmtId="168" formatCode="0.0"/>
    <numFmt numFmtId="169" formatCode="0.000"/>
    <numFmt numFmtId="170" formatCode="&quot;$&quot;#,##0.00_);\(&quot;$&quot;#,##0.00\)"/>
    <numFmt numFmtId="171" formatCode="#,##0_ ;[Red]\-#,##0\ "/>
    <numFmt numFmtId="172" formatCode="&quot;$&quot;#,##0_);[Red]\(&quot;$&quot;#,##0\)"/>
    <numFmt numFmtId="173" formatCode="#,##0.0_ ;[Red]\-#,##0.0\ "/>
    <numFmt numFmtId="174" formatCode="&quot;$&quot;#,##0.00_);[Red]\(&quot;$&quot;#,##0.00\)"/>
    <numFmt numFmtId="175" formatCode="&quot;$&quot;#,##0"/>
    <numFmt numFmtId="176" formatCode="0.000%"/>
    <numFmt numFmtId="177" formatCode="&quot;$&quot;#,##0;[Red]&quot;$&quot;#,##0"/>
  </numFmts>
  <fonts count="40" x14ac:knownFonts="1">
    <font>
      <sz val="11"/>
      <color theme="1"/>
      <name val="Calibri"/>
      <family val="2"/>
      <scheme val="minor"/>
    </font>
    <font>
      <sz val="8"/>
      <name val="Arial"/>
      <family val="2"/>
    </font>
    <font>
      <sz val="12"/>
      <name val="Arial"/>
      <family val="2"/>
    </font>
    <font>
      <sz val="11"/>
      <name val="Arial"/>
      <family val="2"/>
    </font>
    <font>
      <sz val="10"/>
      <name val="Arial"/>
      <family val="2"/>
    </font>
    <font>
      <b/>
      <sz val="11"/>
      <name val="Arial"/>
      <family val="2"/>
    </font>
    <font>
      <b/>
      <sz val="10"/>
      <name val="Arial"/>
      <family val="2"/>
    </font>
    <font>
      <b/>
      <sz val="10"/>
      <color indexed="48"/>
      <name val="Arial"/>
      <family val="2"/>
    </font>
    <font>
      <b/>
      <sz val="10"/>
      <color indexed="12"/>
      <name val="Arial"/>
      <family val="2"/>
    </font>
    <font>
      <sz val="14"/>
      <name val="Arial"/>
      <family val="2"/>
    </font>
    <font>
      <b/>
      <u/>
      <sz val="11"/>
      <name val="Arial"/>
      <family val="2"/>
    </font>
    <font>
      <sz val="9"/>
      <color indexed="81"/>
      <name val="Tahoma"/>
      <family val="2"/>
    </font>
    <font>
      <sz val="12"/>
      <name val="Arial"/>
      <family val="2"/>
    </font>
    <font>
      <b/>
      <sz val="12"/>
      <color indexed="12"/>
      <name val="Arial"/>
      <family val="2"/>
    </font>
    <font>
      <b/>
      <sz val="12"/>
      <name val="Arial"/>
      <family val="2"/>
    </font>
    <font>
      <b/>
      <u/>
      <sz val="12"/>
      <name val="Arial"/>
      <family val="2"/>
    </font>
    <font>
      <b/>
      <sz val="9"/>
      <name val="Arial"/>
      <family val="2"/>
    </font>
    <font>
      <b/>
      <u/>
      <sz val="12"/>
      <color indexed="12"/>
      <name val="Arial"/>
      <family val="2"/>
    </font>
    <font>
      <u/>
      <sz val="12"/>
      <name val="Arial"/>
      <family val="2"/>
    </font>
    <font>
      <b/>
      <sz val="14"/>
      <name val="Arial"/>
      <family val="2"/>
    </font>
    <font>
      <sz val="11"/>
      <color theme="1"/>
      <name val="Calibri"/>
      <family val="2"/>
      <scheme val="minor"/>
    </font>
    <font>
      <u/>
      <sz val="11"/>
      <color theme="10"/>
      <name val="Calibri"/>
      <family val="2"/>
    </font>
    <font>
      <sz val="11"/>
      <color theme="1"/>
      <name val="Arial"/>
      <family val="2"/>
    </font>
    <font>
      <sz val="22"/>
      <color theme="1"/>
      <name val="Arial"/>
      <family val="2"/>
    </font>
    <font>
      <b/>
      <sz val="14"/>
      <color theme="1"/>
      <name val="Arial"/>
      <family val="2"/>
    </font>
    <font>
      <sz val="8"/>
      <color theme="1"/>
      <name val="Arial"/>
      <family val="2"/>
    </font>
    <font>
      <b/>
      <u/>
      <sz val="11"/>
      <color theme="10"/>
      <name val="Calibri"/>
      <family val="2"/>
    </font>
    <font>
      <b/>
      <u/>
      <sz val="10"/>
      <color theme="10"/>
      <name val="Arial"/>
      <family val="2"/>
    </font>
    <font>
      <b/>
      <sz val="11"/>
      <color theme="1"/>
      <name val="Arial"/>
      <family val="2"/>
    </font>
    <font>
      <b/>
      <sz val="11"/>
      <color rgb="FF0000FF"/>
      <name val="Arial"/>
      <family val="2"/>
    </font>
    <font>
      <u/>
      <sz val="11"/>
      <color theme="1"/>
      <name val="Arial"/>
      <family val="2"/>
    </font>
    <font>
      <b/>
      <sz val="10"/>
      <color theme="1"/>
      <name val="Arial"/>
      <family val="2"/>
    </font>
    <font>
      <b/>
      <sz val="12"/>
      <color theme="1"/>
      <name val="Arial"/>
      <family val="2"/>
    </font>
    <font>
      <b/>
      <u/>
      <sz val="10"/>
      <color rgb="FF0000FF"/>
      <name val="Arial"/>
      <family val="2"/>
    </font>
    <font>
      <b/>
      <i/>
      <u/>
      <sz val="12"/>
      <color rgb="FFFF0000"/>
      <name val="Arial"/>
      <family val="2"/>
    </font>
    <font>
      <b/>
      <sz val="12"/>
      <color rgb="FF0000FF"/>
      <name val="Arial"/>
      <family val="2"/>
    </font>
    <font>
      <b/>
      <sz val="16"/>
      <color theme="1"/>
      <name val="Arial"/>
      <family val="2"/>
    </font>
    <font>
      <sz val="12"/>
      <color theme="1"/>
      <name val="Arial"/>
      <family val="2"/>
    </font>
    <font>
      <b/>
      <sz val="14"/>
      <color theme="0"/>
      <name val="Arial"/>
      <family val="2"/>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4">
    <xf numFmtId="0" fontId="0" fillId="0" borderId="0"/>
    <xf numFmtId="172" fontId="13" fillId="0" borderId="0">
      <protection locked="0"/>
    </xf>
    <xf numFmtId="174" fontId="13" fillId="0" borderId="0">
      <protection locked="0"/>
    </xf>
    <xf numFmtId="38" fontId="13" fillId="0" borderId="0">
      <protection locked="0"/>
    </xf>
    <xf numFmtId="40" fontId="13" fillId="0" borderId="0">
      <protection locked="0"/>
    </xf>
    <xf numFmtId="44" fontId="20" fillId="0" borderId="0" applyFon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2" fillId="0" borderId="0">
      <alignment vertical="top"/>
    </xf>
    <xf numFmtId="0" fontId="4" fillId="0" borderId="0">
      <alignment vertical="top"/>
    </xf>
    <xf numFmtId="0" fontId="4" fillId="0" borderId="0">
      <alignment vertical="top"/>
    </xf>
    <xf numFmtId="165" fontId="2" fillId="0" borderId="0">
      <alignment vertical="top"/>
    </xf>
    <xf numFmtId="165" fontId="2" fillId="0" borderId="0">
      <alignment vertical="top"/>
    </xf>
    <xf numFmtId="9" fontId="20" fillId="0" borderId="0" applyFont="0" applyFill="0" applyBorder="0" applyAlignment="0" applyProtection="0"/>
  </cellStyleXfs>
  <cellXfs count="163">
    <xf numFmtId="0" fontId="0" fillId="0" borderId="0" xfId="0"/>
    <xf numFmtId="0" fontId="22" fillId="0" borderId="0" xfId="0" applyFont="1"/>
    <xf numFmtId="0" fontId="22" fillId="0" borderId="0" xfId="0" applyFont="1" applyAlignment="1">
      <alignment horizontal="center"/>
    </xf>
    <xf numFmtId="0" fontId="23" fillId="0" borderId="0" xfId="0" applyFont="1"/>
    <xf numFmtId="0" fontId="24" fillId="0" borderId="0" xfId="0" applyFont="1"/>
    <xf numFmtId="0" fontId="25" fillId="0" borderId="0" xfId="0" applyFont="1" applyAlignment="1">
      <alignment horizontal="right"/>
    </xf>
    <xf numFmtId="14" fontId="1" fillId="0" borderId="0" xfId="0" applyNumberFormat="1" applyFont="1" applyAlignment="1">
      <alignment horizontal="right"/>
    </xf>
    <xf numFmtId="165" fontId="3" fillId="0" borderId="0" xfId="11" applyFont="1">
      <alignment vertical="top"/>
    </xf>
    <xf numFmtId="165" fontId="4" fillId="0" borderId="0" xfId="11" applyFont="1">
      <alignment vertical="top"/>
    </xf>
    <xf numFmtId="0" fontId="5" fillId="0" borderId="0" xfId="0" applyFont="1"/>
    <xf numFmtId="0" fontId="26" fillId="0" borderId="0" xfId="6" applyFont="1" applyAlignment="1" applyProtection="1"/>
    <xf numFmtId="0" fontId="3" fillId="0" borderId="0" xfId="0" applyFont="1"/>
    <xf numFmtId="0" fontId="4" fillId="0" borderId="0" xfId="0" applyFont="1"/>
    <xf numFmtId="165" fontId="27" fillId="0" borderId="0" xfId="6" applyNumberFormat="1" applyFont="1" applyProtection="1">
      <alignment vertical="top"/>
    </xf>
    <xf numFmtId="0" fontId="6" fillId="0" borderId="0" xfId="0" applyFont="1"/>
    <xf numFmtId="3" fontId="9" fillId="0" borderId="0" xfId="0" applyNumberFormat="1" applyFont="1"/>
    <xf numFmtId="0" fontId="28" fillId="0" borderId="0" xfId="0" applyFont="1"/>
    <xf numFmtId="0" fontId="29" fillId="0" borderId="0" xfId="0" applyFont="1" applyProtection="1">
      <protection locked="0"/>
    </xf>
    <xf numFmtId="0" fontId="29" fillId="0" borderId="0" xfId="0" applyFont="1"/>
    <xf numFmtId="3" fontId="29" fillId="0" borderId="0" xfId="0" applyNumberFormat="1" applyFont="1" applyProtection="1">
      <protection locked="0"/>
    </xf>
    <xf numFmtId="0" fontId="10" fillId="0" borderId="0" xfId="0" applyFont="1" applyAlignment="1">
      <alignment horizontal="center"/>
    </xf>
    <xf numFmtId="44" fontId="29" fillId="0" borderId="0" xfId="5" applyFont="1" applyProtection="1">
      <protection locked="0"/>
    </xf>
    <xf numFmtId="44" fontId="29" fillId="0" borderId="0" xfId="5" applyFont="1"/>
    <xf numFmtId="10" fontId="29" fillId="0" borderId="0" xfId="13" applyNumberFormat="1" applyFont="1" applyProtection="1">
      <protection locked="0"/>
    </xf>
    <xf numFmtId="164" fontId="29" fillId="0" borderId="0" xfId="13" applyNumberFormat="1" applyFont="1"/>
    <xf numFmtId="44" fontId="22" fillId="0" borderId="0" xfId="0" applyNumberFormat="1" applyFont="1"/>
    <xf numFmtId="165" fontId="3" fillId="0" borderId="0" xfId="13" applyNumberFormat="1" applyFont="1"/>
    <xf numFmtId="44" fontId="28" fillId="0" borderId="0" xfId="0" applyNumberFormat="1" applyFont="1"/>
    <xf numFmtId="3" fontId="22" fillId="0" borderId="0" xfId="0" applyNumberFormat="1" applyFont="1"/>
    <xf numFmtId="167" fontId="3" fillId="0" borderId="0" xfId="0" applyNumberFormat="1" applyFont="1" applyAlignment="1">
      <alignment horizontal="left"/>
    </xf>
    <xf numFmtId="0" fontId="30" fillId="0" borderId="0" xfId="0" applyFont="1" applyAlignment="1">
      <alignment horizontal="right"/>
    </xf>
    <xf numFmtId="0" fontId="22" fillId="0" borderId="0" xfId="0" applyFont="1" applyAlignment="1">
      <alignment horizontal="right"/>
    </xf>
    <xf numFmtId="0" fontId="30" fillId="0" borderId="0" xfId="0" applyFont="1" applyAlignment="1">
      <alignment horizontal="left"/>
    </xf>
    <xf numFmtId="167" fontId="3" fillId="0" borderId="0" xfId="0" applyNumberFormat="1" applyFont="1" applyAlignment="1">
      <alignment horizontal="right"/>
    </xf>
    <xf numFmtId="44" fontId="3" fillId="0" borderId="0" xfId="5" applyFont="1" applyFill="1" applyProtection="1"/>
    <xf numFmtId="165" fontId="3" fillId="0" borderId="0" xfId="13" applyNumberFormat="1" applyFont="1" applyFill="1"/>
    <xf numFmtId="0" fontId="31" fillId="0" borderId="0" xfId="0" applyFont="1"/>
    <xf numFmtId="0" fontId="32" fillId="0" borderId="0" xfId="0" applyFont="1"/>
    <xf numFmtId="0" fontId="31" fillId="0" borderId="1" xfId="0" applyFont="1" applyBorder="1" applyAlignment="1">
      <alignment horizontal="right"/>
    </xf>
    <xf numFmtId="1" fontId="0" fillId="0" borderId="0" xfId="0" applyNumberFormat="1"/>
    <xf numFmtId="168" fontId="0" fillId="0" borderId="0" xfId="0" applyNumberFormat="1"/>
    <xf numFmtId="165" fontId="0" fillId="0" borderId="0" xfId="0" applyNumberFormat="1"/>
    <xf numFmtId="0" fontId="31" fillId="0" borderId="2" xfId="0" applyFont="1" applyBorder="1" applyAlignment="1">
      <alignment horizontal="left" vertical="center"/>
    </xf>
    <xf numFmtId="0" fontId="0" fillId="0" borderId="2" xfId="0" applyBorder="1"/>
    <xf numFmtId="0" fontId="0" fillId="0" borderId="1" xfId="0" applyBorder="1"/>
    <xf numFmtId="0" fontId="33" fillId="0" borderId="0" xfId="0" applyFont="1" applyAlignment="1">
      <alignment horizontal="left"/>
    </xf>
    <xf numFmtId="3" fontId="0" fillId="0" borderId="0" xfId="0" applyNumberFormat="1"/>
    <xf numFmtId="2" fontId="22" fillId="0" borderId="0" xfId="0" applyNumberFormat="1" applyFont="1"/>
    <xf numFmtId="168" fontId="22" fillId="0" borderId="0" xfId="0" applyNumberFormat="1" applyFont="1"/>
    <xf numFmtId="42" fontId="22" fillId="0" borderId="0" xfId="0" applyNumberFormat="1" applyFont="1"/>
    <xf numFmtId="44" fontId="3" fillId="0" borderId="0" xfId="13" applyNumberFormat="1" applyFont="1"/>
    <xf numFmtId="44" fontId="3" fillId="0" borderId="0" xfId="13" applyNumberFormat="1" applyFont="1" applyFill="1"/>
    <xf numFmtId="42" fontId="22" fillId="2" borderId="0" xfId="0" applyNumberFormat="1" applyFont="1" applyFill="1"/>
    <xf numFmtId="44" fontId="3" fillId="2" borderId="0" xfId="13" applyNumberFormat="1" applyFont="1" applyFill="1"/>
    <xf numFmtId="44" fontId="22" fillId="2" borderId="0" xfId="0" applyNumberFormat="1" applyFont="1" applyFill="1"/>
    <xf numFmtId="44" fontId="28" fillId="2" borderId="0" xfId="0" applyNumberFormat="1" applyFont="1" applyFill="1"/>
    <xf numFmtId="0" fontId="2" fillId="0" borderId="0" xfId="0" applyFont="1"/>
    <xf numFmtId="3" fontId="12" fillId="0" borderId="0" xfId="8" applyNumberFormat="1" applyAlignment="1"/>
    <xf numFmtId="38" fontId="13" fillId="0" borderId="0" xfId="3">
      <protection locked="0"/>
    </xf>
    <xf numFmtId="3" fontId="13" fillId="0" borderId="0" xfId="8" applyNumberFormat="1" applyFont="1" applyAlignment="1"/>
    <xf numFmtId="3" fontId="2" fillId="0" borderId="0" xfId="8" applyNumberFormat="1" applyFont="1" applyAlignment="1"/>
    <xf numFmtId="38" fontId="13" fillId="0" borderId="0" xfId="4" applyNumberFormat="1">
      <protection locked="0"/>
    </xf>
    <xf numFmtId="164" fontId="13" fillId="0" borderId="0" xfId="8" applyNumberFormat="1" applyFont="1" applyAlignment="1"/>
    <xf numFmtId="3" fontId="14" fillId="0" borderId="0" xfId="8" applyNumberFormat="1" applyFont="1" applyAlignment="1"/>
    <xf numFmtId="170" fontId="12" fillId="0" borderId="0" xfId="8" applyNumberFormat="1" applyAlignment="1"/>
    <xf numFmtId="170" fontId="34" fillId="0" borderId="0" xfId="8" applyNumberFormat="1" applyFont="1" applyAlignment="1"/>
    <xf numFmtId="3" fontId="2" fillId="0" borderId="0" xfId="8" applyNumberFormat="1" applyFont="1" applyAlignment="1">
      <alignment horizontal="right"/>
    </xf>
    <xf numFmtId="167" fontId="14" fillId="0" borderId="0" xfId="8" applyNumberFormat="1" applyFont="1" applyAlignment="1"/>
    <xf numFmtId="0" fontId="15" fillId="0" borderId="0" xfId="8" applyFont="1" applyAlignment="1"/>
    <xf numFmtId="0" fontId="2" fillId="0" borderId="0" xfId="8" applyFont="1" applyAlignment="1"/>
    <xf numFmtId="0" fontId="12" fillId="0" borderId="0" xfId="8" applyAlignment="1"/>
    <xf numFmtId="3" fontId="14" fillId="0" borderId="0" xfId="8" applyNumberFormat="1" applyFont="1" applyAlignment="1">
      <alignment horizontal="center" wrapText="1"/>
    </xf>
    <xf numFmtId="170" fontId="14" fillId="0" borderId="0" xfId="8" applyNumberFormat="1" applyFont="1" applyAlignment="1">
      <alignment horizontal="center" wrapText="1"/>
    </xf>
    <xf numFmtId="171" fontId="35" fillId="0" borderId="0" xfId="3" applyNumberFormat="1" applyFont="1">
      <protection locked="0"/>
    </xf>
    <xf numFmtId="172" fontId="14" fillId="0" borderId="0" xfId="1" applyFont="1" applyAlignment="1" applyProtection="1">
      <alignment horizontal="center"/>
    </xf>
    <xf numFmtId="173" fontId="14" fillId="0" borderId="0" xfId="3" applyNumberFormat="1" applyFont="1" applyProtection="1"/>
    <xf numFmtId="0" fontId="14" fillId="0" borderId="0" xfId="8" applyFont="1" applyAlignment="1"/>
    <xf numFmtId="0" fontId="13" fillId="0" borderId="0" xfId="8" applyFont="1" applyAlignment="1"/>
    <xf numFmtId="172" fontId="13" fillId="0" borderId="0" xfId="1">
      <protection locked="0"/>
    </xf>
    <xf numFmtId="174" fontId="13" fillId="0" borderId="0" xfId="2">
      <protection locked="0"/>
    </xf>
    <xf numFmtId="172" fontId="13" fillId="0" borderId="0" xfId="1" applyProtection="1"/>
    <xf numFmtId="174" fontId="13" fillId="0" borderId="0" xfId="2" applyProtection="1"/>
    <xf numFmtId="175" fontId="14" fillId="0" borderId="0" xfId="8" applyNumberFormat="1" applyFont="1" applyAlignment="1"/>
    <xf numFmtId="0" fontId="16" fillId="0" borderId="0" xfId="8" applyFont="1" applyAlignment="1"/>
    <xf numFmtId="166" fontId="13" fillId="0" borderId="0" xfId="2" applyNumberFormat="1">
      <protection locked="0"/>
    </xf>
    <xf numFmtId="0" fontId="2" fillId="0" borderId="0" xfId="9" applyFont="1" applyAlignment="1"/>
    <xf numFmtId="9" fontId="13" fillId="0" borderId="0" xfId="8" applyNumberFormat="1" applyFont="1" applyAlignment="1" applyProtection="1">
      <protection locked="0"/>
    </xf>
    <xf numFmtId="9" fontId="13" fillId="0" borderId="0" xfId="8" applyNumberFormat="1" applyFont="1" applyAlignment="1"/>
    <xf numFmtId="9" fontId="14" fillId="0" borderId="0" xfId="9" applyNumberFormat="1" applyFont="1" applyAlignment="1"/>
    <xf numFmtId="10" fontId="13" fillId="0" borderId="0" xfId="8" applyNumberFormat="1" applyFont="1" applyAlignment="1" applyProtection="1">
      <alignment horizontal="right"/>
      <protection locked="0"/>
    </xf>
    <xf numFmtId="10" fontId="13" fillId="0" borderId="0" xfId="8" applyNumberFormat="1" applyFont="1" applyAlignment="1">
      <alignment horizontal="right"/>
    </xf>
    <xf numFmtId="0" fontId="15" fillId="0" borderId="0" xfId="9" applyFont="1" applyAlignment="1"/>
    <xf numFmtId="176" fontId="13" fillId="0" borderId="0" xfId="8" applyNumberFormat="1" applyFont="1" applyAlignment="1" applyProtection="1">
      <protection locked="0"/>
    </xf>
    <xf numFmtId="3" fontId="35" fillId="0" borderId="0" xfId="9" applyNumberFormat="1" applyFont="1" applyAlignment="1" applyProtection="1">
      <alignment horizontal="right"/>
      <protection locked="0"/>
    </xf>
    <xf numFmtId="8" fontId="14" fillId="0" borderId="0" xfId="9" applyNumberFormat="1" applyFont="1" applyAlignment="1"/>
    <xf numFmtId="0" fontId="14" fillId="0" borderId="0" xfId="9" applyFont="1" applyAlignment="1"/>
    <xf numFmtId="7" fontId="14" fillId="0" borderId="0" xfId="9" applyNumberFormat="1" applyFont="1" applyAlignment="1"/>
    <xf numFmtId="0" fontId="2" fillId="0" borderId="0" xfId="8" applyFont="1" applyAlignment="1" applyProtection="1">
      <protection locked="0"/>
    </xf>
    <xf numFmtId="5" fontId="14" fillId="0" borderId="0" xfId="9" applyNumberFormat="1" applyFont="1" applyAlignment="1">
      <alignment horizontal="right"/>
    </xf>
    <xf numFmtId="0" fontId="5" fillId="0" borderId="3" xfId="8" applyFont="1" applyBorder="1" applyAlignment="1" applyProtection="1">
      <alignment horizontal="right"/>
      <protection locked="0"/>
    </xf>
    <xf numFmtId="7" fontId="5" fillId="0" borderId="3" xfId="9" applyNumberFormat="1" applyFont="1" applyBorder="1" applyAlignment="1">
      <alignment horizontal="right"/>
    </xf>
    <xf numFmtId="5" fontId="5" fillId="0" borderId="3" xfId="9" applyNumberFormat="1" applyFont="1" applyBorder="1" applyAlignment="1">
      <alignment horizontal="right"/>
    </xf>
    <xf numFmtId="175" fontId="13" fillId="0" borderId="0" xfId="8" applyNumberFormat="1" applyFont="1" applyAlignment="1" applyProtection="1">
      <protection locked="0"/>
    </xf>
    <xf numFmtId="0" fontId="15" fillId="0" borderId="0" xfId="9" applyFont="1" applyAlignment="1">
      <alignment horizontal="center"/>
    </xf>
    <xf numFmtId="3" fontId="14" fillId="0" borderId="1" xfId="8" applyNumberFormat="1" applyFont="1" applyBorder="1" applyAlignment="1">
      <alignment horizontal="center" vertical="center" wrapText="1"/>
    </xf>
    <xf numFmtId="170" fontId="14" fillId="0" borderId="1" xfId="8" applyNumberFormat="1" applyFont="1" applyBorder="1" applyAlignment="1">
      <alignment horizontal="center" vertical="center" wrapText="1"/>
    </xf>
    <xf numFmtId="0" fontId="6" fillId="0" borderId="0" xfId="8" applyFont="1" applyAlignment="1"/>
    <xf numFmtId="4" fontId="13" fillId="0" borderId="0" xfId="8" applyNumberFormat="1" applyFont="1" applyAlignment="1" applyProtection="1">
      <protection locked="0"/>
    </xf>
    <xf numFmtId="5" fontId="14" fillId="0" borderId="0" xfId="9" applyNumberFormat="1" applyFont="1" applyAlignment="1"/>
    <xf numFmtId="175" fontId="14" fillId="0" borderId="1" xfId="8" applyNumberFormat="1" applyFont="1" applyBorder="1" applyAlignment="1"/>
    <xf numFmtId="165" fontId="14" fillId="0" borderId="0" xfId="9" applyNumberFormat="1" applyFont="1" applyAlignment="1"/>
    <xf numFmtId="9" fontId="13" fillId="0" borderId="0" xfId="10" applyNumberFormat="1" applyFont="1" applyAlignment="1" applyProtection="1">
      <protection locked="0"/>
    </xf>
    <xf numFmtId="176" fontId="13" fillId="0" borderId="0" xfId="10" applyNumberFormat="1" applyFont="1" applyAlignment="1" applyProtection="1">
      <protection locked="0"/>
    </xf>
    <xf numFmtId="165" fontId="15" fillId="0" borderId="0" xfId="9" applyNumberFormat="1" applyFont="1" applyAlignment="1"/>
    <xf numFmtId="10" fontId="13" fillId="0" borderId="0" xfId="8" applyNumberFormat="1" applyFont="1" applyAlignment="1" applyProtection="1">
      <protection locked="0"/>
    </xf>
    <xf numFmtId="3" fontId="15" fillId="0" borderId="0" xfId="8" applyNumberFormat="1" applyFont="1" applyAlignment="1"/>
    <xf numFmtId="174" fontId="14" fillId="0" borderId="0" xfId="2" applyFont="1" applyProtection="1"/>
    <xf numFmtId="174" fontId="17" fillId="0" borderId="0" xfId="2" applyFont="1">
      <protection locked="0"/>
    </xf>
    <xf numFmtId="165" fontId="14" fillId="0" borderId="0" xfId="8" applyNumberFormat="1" applyFont="1" applyAlignment="1"/>
    <xf numFmtId="165" fontId="15" fillId="0" borderId="0" xfId="8" applyNumberFormat="1" applyFont="1" applyAlignment="1"/>
    <xf numFmtId="4" fontId="12" fillId="0" borderId="0" xfId="8" applyNumberFormat="1" applyAlignment="1"/>
    <xf numFmtId="169" fontId="2" fillId="0" borderId="0" xfId="8" applyNumberFormat="1" applyFont="1" applyAlignment="1"/>
    <xf numFmtId="2" fontId="14" fillId="0" borderId="0" xfId="8" applyNumberFormat="1" applyFont="1" applyAlignment="1"/>
    <xf numFmtId="0" fontId="2" fillId="0" borderId="0" xfId="8" applyFont="1" applyAlignment="1">
      <alignment horizontal="center"/>
    </xf>
    <xf numFmtId="1" fontId="14" fillId="0" borderId="0" xfId="8" applyNumberFormat="1" applyFont="1" applyAlignment="1"/>
    <xf numFmtId="165" fontId="2" fillId="0" borderId="0" xfId="8" applyNumberFormat="1" applyFont="1" applyAlignment="1"/>
    <xf numFmtId="10" fontId="35" fillId="0" borderId="0" xfId="13" applyNumberFormat="1" applyFont="1" applyProtection="1">
      <protection locked="0"/>
    </xf>
    <xf numFmtId="7" fontId="35" fillId="0" borderId="0" xfId="5" applyNumberFormat="1" applyFont="1" applyProtection="1">
      <protection locked="0"/>
    </xf>
    <xf numFmtId="5" fontId="35" fillId="0" borderId="0" xfId="5" applyNumberFormat="1" applyFont="1" applyProtection="1">
      <protection locked="0"/>
    </xf>
    <xf numFmtId="0" fontId="36" fillId="0" borderId="0" xfId="0" applyFont="1"/>
    <xf numFmtId="0" fontId="28" fillId="0" borderId="1" xfId="0" applyFont="1" applyBorder="1" applyAlignment="1">
      <alignment horizontal="right"/>
    </xf>
    <xf numFmtId="0" fontId="28" fillId="0" borderId="2" xfId="0" applyFont="1" applyBorder="1" applyAlignment="1">
      <alignment horizontal="left" vertical="center"/>
    </xf>
    <xf numFmtId="3" fontId="14" fillId="0" borderId="0" xfId="8" applyNumberFormat="1" applyFont="1" applyAlignment="1">
      <alignment horizontal="right"/>
    </xf>
    <xf numFmtId="170" fontId="14" fillId="0" borderId="1" xfId="8" applyNumberFormat="1" applyFont="1" applyBorder="1" applyAlignment="1">
      <alignment horizontal="center" wrapText="1"/>
    </xf>
    <xf numFmtId="3" fontId="14" fillId="0" borderId="1" xfId="8" applyNumberFormat="1" applyFont="1" applyBorder="1" applyAlignment="1">
      <alignment horizontal="center" wrapText="1"/>
    </xf>
    <xf numFmtId="0" fontId="13" fillId="0" borderId="0" xfId="0" applyFont="1" applyAlignment="1" applyProtection="1">
      <alignment horizontal="center"/>
      <protection locked="0"/>
    </xf>
    <xf numFmtId="0" fontId="14" fillId="0" borderId="0" xfId="0" applyFont="1"/>
    <xf numFmtId="165" fontId="14" fillId="0" borderId="0" xfId="8" applyNumberFormat="1" applyFont="1" applyAlignment="1">
      <alignment horizontal="center"/>
    </xf>
    <xf numFmtId="3" fontId="4" fillId="0" borderId="0" xfId="8" applyNumberFormat="1" applyFont="1" applyAlignment="1">
      <alignment horizontal="center"/>
    </xf>
    <xf numFmtId="0" fontId="4" fillId="0" borderId="0" xfId="0" applyFont="1" applyAlignment="1">
      <alignment horizontal="center"/>
    </xf>
    <xf numFmtId="174" fontId="14" fillId="0" borderId="0" xfId="8" applyNumberFormat="1" applyFont="1" applyAlignment="1">
      <alignment horizontal="center"/>
    </xf>
    <xf numFmtId="174" fontId="14" fillId="0" borderId="0" xfId="1" applyNumberFormat="1" applyFont="1" applyAlignment="1" applyProtection="1">
      <alignment horizontal="center"/>
    </xf>
    <xf numFmtId="165" fontId="18" fillId="0" borderId="0" xfId="8" applyNumberFormat="1" applyFont="1" applyAlignment="1"/>
    <xf numFmtId="3" fontId="19" fillId="0" borderId="0" xfId="8" applyNumberFormat="1" applyFont="1" applyAlignment="1"/>
    <xf numFmtId="3" fontId="19" fillId="0" borderId="0" xfId="8" applyNumberFormat="1" applyFont="1" applyAlignment="1">
      <alignment horizontal="right"/>
    </xf>
    <xf numFmtId="165" fontId="19" fillId="0" borderId="0" xfId="8" applyNumberFormat="1" applyFont="1" applyAlignment="1"/>
    <xf numFmtId="0" fontId="37" fillId="0" borderId="0" xfId="0" applyFont="1"/>
    <xf numFmtId="164" fontId="29" fillId="0" borderId="0" xfId="13" applyNumberFormat="1" applyFont="1" applyProtection="1"/>
    <xf numFmtId="5" fontId="32" fillId="0" borderId="0" xfId="5" applyNumberFormat="1" applyFont="1" applyFill="1" applyAlignment="1" applyProtection="1">
      <alignment horizontal="right"/>
    </xf>
    <xf numFmtId="177" fontId="14" fillId="0" borderId="0" xfId="1" applyNumberFormat="1" applyFont="1" applyProtection="1"/>
    <xf numFmtId="165" fontId="3" fillId="0" borderId="0" xfId="12" applyFont="1">
      <alignment vertical="top"/>
    </xf>
    <xf numFmtId="165" fontId="3" fillId="0" borderId="0" xfId="11" applyFont="1" applyProtection="1">
      <alignment vertical="top"/>
      <protection locked="0"/>
    </xf>
    <xf numFmtId="7" fontId="35" fillId="0" borderId="0" xfId="5" applyNumberFormat="1" applyFont="1" applyFill="1" applyProtection="1">
      <protection locked="0"/>
    </xf>
    <xf numFmtId="3" fontId="6" fillId="0" borderId="0" xfId="0" applyNumberFormat="1" applyFont="1" applyAlignment="1">
      <alignment horizontal="left" vertical="top" wrapText="1"/>
    </xf>
    <xf numFmtId="0" fontId="38" fillId="3" borderId="0" xfId="0" applyFont="1" applyFill="1" applyAlignment="1">
      <alignment horizontal="center" vertical="center"/>
    </xf>
    <xf numFmtId="0" fontId="38" fillId="3" borderId="0" xfId="8" applyFont="1" applyFill="1" applyAlignment="1">
      <alignment horizontal="center" vertical="center"/>
    </xf>
    <xf numFmtId="3" fontId="38" fillId="3" borderId="0" xfId="8" applyNumberFormat="1" applyFont="1" applyFill="1" applyAlignment="1">
      <alignment horizontal="center"/>
    </xf>
    <xf numFmtId="0" fontId="5" fillId="0" borderId="1" xfId="8" applyFont="1" applyBorder="1" applyAlignment="1" applyProtection="1">
      <alignment horizontal="center"/>
      <protection locked="0"/>
    </xf>
    <xf numFmtId="0" fontId="5" fillId="0" borderId="1" xfId="8" applyFont="1" applyBorder="1" applyAlignment="1" applyProtection="1">
      <alignment horizontal="center" wrapText="1"/>
      <protection locked="0"/>
    </xf>
    <xf numFmtId="0" fontId="14" fillId="0" borderId="1" xfId="8" applyFont="1" applyBorder="1" applyAlignment="1" applyProtection="1">
      <alignment horizontal="center" wrapText="1"/>
      <protection locked="0"/>
    </xf>
    <xf numFmtId="3" fontId="6" fillId="0" borderId="0" xfId="0" applyNumberFormat="1" applyFont="1" applyAlignment="1">
      <alignment vertical="top" wrapText="1"/>
    </xf>
    <xf numFmtId="3" fontId="0" fillId="0" borderId="0" xfId="0" applyNumberFormat="1" applyAlignment="1">
      <alignment vertical="top" wrapText="1"/>
    </xf>
    <xf numFmtId="0" fontId="39" fillId="0" borderId="0" xfId="0" applyFont="1" applyAlignment="1">
      <alignment horizontal="left" wrapText="1"/>
    </xf>
  </cellXfs>
  <cellStyles count="14">
    <cellStyle name="Curr ($1,234) U Blue" xfId="1" xr:uid="{00000000-0005-0000-0000-000000000000}"/>
    <cellStyle name="Curr ($1,234.00) U Blue" xfId="2" xr:uid="{00000000-0005-0000-0000-000001000000}"/>
    <cellStyle name="Curr (1,234) U Blue" xfId="3" xr:uid="{00000000-0005-0000-0000-000002000000}"/>
    <cellStyle name="Curr (1,234.00) U Blue" xfId="4" xr:uid="{00000000-0005-0000-0000-000003000000}"/>
    <cellStyle name="Currency" xfId="5" builtinId="4"/>
    <cellStyle name="Hyperlink" xfId="6" builtinId="8"/>
    <cellStyle name="Hyperlink 2" xfId="7" xr:uid="{00000000-0005-0000-0000-000006000000}"/>
    <cellStyle name="Normal" xfId="0" builtinId="0"/>
    <cellStyle name="Normal 2" xfId="8" xr:uid="{00000000-0005-0000-0000-000008000000}"/>
    <cellStyle name="Normal 2 2" xfId="9" xr:uid="{00000000-0005-0000-0000-000009000000}"/>
    <cellStyle name="Normal 5" xfId="10" xr:uid="{00000000-0005-0000-0000-00000A000000}"/>
    <cellStyle name="Normal_Farrow-Wean 500" xfId="11" xr:uid="{00000000-0005-0000-0000-00000B000000}"/>
    <cellStyle name="Normal_Farrow-Wean 500 2" xfId="12" xr:uid="{00000000-0005-0000-0000-00000C000000}"/>
    <cellStyle name="Percent"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www.gov.mb.ca/agriculture/contact/index.html" TargetMode="External"/><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4" Type="http://schemas.openxmlformats.org/officeDocument/2006/relationships/hyperlink" Target="mailto:mbfarmbusiness@gov.mb.ca"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0</xdr:row>
      <xdr:rowOff>180975</xdr:rowOff>
    </xdr:from>
    <xdr:to>
      <xdr:col>10</xdr:col>
      <xdr:colOff>638175</xdr:colOff>
      <xdr:row>1</xdr:row>
      <xdr:rowOff>171450</xdr:rowOff>
    </xdr:to>
    <xdr:pic>
      <xdr:nvPicPr>
        <xdr:cNvPr id="2316" name="Picture 2" descr="Manitoba Government Logo.">
          <a:extLst>
            <a:ext uri="{FF2B5EF4-FFF2-40B4-BE49-F238E27FC236}">
              <a16:creationId xmlns:a16="http://schemas.microsoft.com/office/drawing/2014/main" id="{00000000-0008-0000-0000-00000C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0450" y="180975"/>
          <a:ext cx="2000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71</xdr:row>
      <xdr:rowOff>0</xdr:rowOff>
    </xdr:from>
    <xdr:to>
      <xdr:col>1</xdr:col>
      <xdr:colOff>2061145</xdr:colOff>
      <xdr:row>71</xdr:row>
      <xdr:rowOff>38226</xdr:rowOff>
    </xdr:to>
    <xdr:sp macro="" textlink="">
      <xdr:nvSpPr>
        <xdr:cNvPr id="7" name="TextBox 6">
          <a:hlinkClick xmlns:r="http://schemas.openxmlformats.org/officeDocument/2006/relationships" r:id="rId2" tooltip="Click here for a list for Manitoba Agriculture and Resource Development Farm Management Specialists"/>
          <a:extLst>
            <a:ext uri="{FF2B5EF4-FFF2-40B4-BE49-F238E27FC236}">
              <a16:creationId xmlns:a16="http://schemas.microsoft.com/office/drawing/2014/main" id="{00000000-0008-0000-0000-000007000000}"/>
            </a:ext>
          </a:extLst>
        </xdr:cNvPr>
        <xdr:cNvSpPr txBox="1"/>
      </xdr:nvSpPr>
      <xdr:spPr>
        <a:xfrm>
          <a:off x="342900" y="10431780"/>
          <a:ext cx="2013520" cy="255396"/>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farm management specialist </a:t>
          </a:r>
          <a:endParaRPr lang="en-CA" sz="1000" b="1">
            <a:latin typeface="Arial" pitchFamily="34" charset="0"/>
            <a:cs typeface="Arial" pitchFamily="34" charset="0"/>
          </a:endParaRPr>
        </a:p>
      </xdr:txBody>
    </xdr:sp>
    <xdr:clientData/>
  </xdr:twoCellAnchor>
  <xdr:twoCellAnchor editAs="oneCell">
    <xdr:from>
      <xdr:col>2</xdr:col>
      <xdr:colOff>571500</xdr:colOff>
      <xdr:row>73</xdr:row>
      <xdr:rowOff>66675</xdr:rowOff>
    </xdr:from>
    <xdr:to>
      <xdr:col>7</xdr:col>
      <xdr:colOff>114300</xdr:colOff>
      <xdr:row>77</xdr:row>
      <xdr:rowOff>123825</xdr:rowOff>
    </xdr:to>
    <xdr:pic>
      <xdr:nvPicPr>
        <xdr:cNvPr id="2318" name="Picture 5" descr="Farm Management Contact Information. ">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0E09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24125" y="154019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0</xdr:row>
      <xdr:rowOff>152400</xdr:rowOff>
    </xdr:from>
    <xdr:to>
      <xdr:col>7</xdr:col>
      <xdr:colOff>409575</xdr:colOff>
      <xdr:row>1</xdr:row>
      <xdr:rowOff>142875</xdr:rowOff>
    </xdr:to>
    <xdr:pic>
      <xdr:nvPicPr>
        <xdr:cNvPr id="1821" name="Picture 2" descr="GovMB_Logo_blk10.jpg">
          <a:extLst>
            <a:ext uri="{FF2B5EF4-FFF2-40B4-BE49-F238E27FC236}">
              <a16:creationId xmlns:a16="http://schemas.microsoft.com/office/drawing/2014/main" id="{00000000-0008-0000-0200-00001D0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152400"/>
          <a:ext cx="15811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1381125</xdr:colOff>
      <xdr:row>59</xdr:row>
      <xdr:rowOff>59055</xdr:rowOff>
    </xdr:from>
    <xdr:to>
      <xdr:col>5</xdr:col>
      <xdr:colOff>575329</xdr:colOff>
      <xdr:row>61</xdr:row>
      <xdr:rowOff>38217</xdr:rowOff>
    </xdr:to>
    <xdr:sp macro="" textlink="">
      <xdr:nvSpPr>
        <xdr:cNvPr id="5" name="TextBox 4">
          <a:hlinkClick xmlns:r="http://schemas.openxmlformats.org/officeDocument/2006/relationships" r:id="rId2" tooltip="Click here for a list of Manitoba Agriculture and Resource Development Farm Management Specialists"/>
          <a:extLst>
            <a:ext uri="{FF2B5EF4-FFF2-40B4-BE49-F238E27FC236}">
              <a16:creationId xmlns:a16="http://schemas.microsoft.com/office/drawing/2014/main" id="{00000000-0008-0000-0200-000005000000}"/>
            </a:ext>
          </a:extLst>
        </xdr:cNvPr>
        <xdr:cNvSpPr txBox="1"/>
      </xdr:nvSpPr>
      <xdr:spPr>
        <a:xfrm>
          <a:off x="1676400" y="12706350"/>
          <a:ext cx="3086103" cy="2476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Manitoba Farm Management</a:t>
          </a:r>
          <a:endParaRPr lang="en-CA" sz="1000" b="1">
            <a:latin typeface="Arial" pitchFamily="34" charset="0"/>
            <a:cs typeface="Arial" pitchFamily="34" charset="0"/>
          </a:endParaRPr>
        </a:p>
      </xdr:txBody>
    </xdr:sp>
    <xdr:clientData/>
  </xdr:twoCellAnchor>
  <xdr:twoCellAnchor>
    <xdr:from>
      <xdr:col>2</xdr:col>
      <xdr:colOff>30479</xdr:colOff>
      <xdr:row>60</xdr:row>
      <xdr:rowOff>161925</xdr:rowOff>
    </xdr:from>
    <xdr:to>
      <xdr:col>4</xdr:col>
      <xdr:colOff>659210</xdr:colOff>
      <xdr:row>62</xdr:row>
      <xdr:rowOff>30621</xdr:rowOff>
    </xdr:to>
    <xdr:sp macro="" textlink="">
      <xdr:nvSpPr>
        <xdr:cNvPr id="6" name="TextBox 5">
          <a:hlinkClick xmlns:r="http://schemas.openxmlformats.org/officeDocument/2006/relationships" r:id="rId3" tooltip="Click here for list of Manitoba Agriculture and Resource Development Office locations"/>
          <a:extLst>
            <a:ext uri="{FF2B5EF4-FFF2-40B4-BE49-F238E27FC236}">
              <a16:creationId xmlns:a16="http://schemas.microsoft.com/office/drawing/2014/main" id="{00000000-0008-0000-0200-000006000000}"/>
            </a:ext>
          </a:extLst>
        </xdr:cNvPr>
        <xdr:cNvSpPr txBox="1"/>
      </xdr:nvSpPr>
      <xdr:spPr>
        <a:xfrm>
          <a:off x="2506979" y="10896600"/>
          <a:ext cx="1569721" cy="23812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000" b="1" i="0" u="sng" baseline="0">
              <a:solidFill>
                <a:srgbClr val="0000FF"/>
              </a:solidFill>
              <a:uFill>
                <a:solidFill>
                  <a:srgbClr val="0000FF"/>
                </a:solidFill>
              </a:uFill>
              <a:latin typeface="Arial" pitchFamily="34" charset="0"/>
              <a:cs typeface="Arial" pitchFamily="34" charset="0"/>
            </a:rPr>
            <a:t>Office </a:t>
          </a:r>
          <a:r>
            <a:rPr lang="en-CA" sz="1000" b="1" i="0" u="sng" baseline="0">
              <a:solidFill>
                <a:sysClr val="windowText" lastClr="000000"/>
              </a:solidFill>
              <a:uFill>
                <a:solidFill>
                  <a:srgbClr val="0000FF"/>
                </a:solidFill>
              </a:uFill>
              <a:latin typeface="Arial" pitchFamily="34" charset="0"/>
              <a:cs typeface="Arial" pitchFamily="34" charset="0"/>
            </a:rPr>
            <a:t>or</a:t>
          </a:r>
          <a:endParaRPr lang="en-CA" sz="1000" b="1" baseline="0">
            <a:solidFill>
              <a:sysClr val="windowText" lastClr="000000"/>
            </a:solidFill>
            <a:latin typeface="Arial" pitchFamily="34" charset="0"/>
            <a:cs typeface="Arial" pitchFamily="34" charset="0"/>
          </a:endParaRPr>
        </a:p>
      </xdr:txBody>
    </xdr:sp>
    <xdr:clientData/>
  </xdr:twoCellAnchor>
  <xdr:twoCellAnchor>
    <xdr:from>
      <xdr:col>0</xdr:col>
      <xdr:colOff>9525</xdr:colOff>
      <xdr:row>56</xdr:row>
      <xdr:rowOff>38100</xdr:rowOff>
    </xdr:from>
    <xdr:to>
      <xdr:col>1</xdr:col>
      <xdr:colOff>1949086</xdr:colOff>
      <xdr:row>57</xdr:row>
      <xdr:rowOff>120215</xdr:rowOff>
    </xdr:to>
    <xdr:sp macro="" textlink="">
      <xdr:nvSpPr>
        <xdr:cNvPr id="7" name="TextBox 6">
          <a:hlinkClick xmlns:r="http://schemas.openxmlformats.org/officeDocument/2006/relationships" r:id="rId3" tooltip="Click here for list of Manitoba Agriculture and Resource Development Office locations"/>
          <a:extLst>
            <a:ext uri="{FF2B5EF4-FFF2-40B4-BE49-F238E27FC236}">
              <a16:creationId xmlns:a16="http://schemas.microsoft.com/office/drawing/2014/main" id="{00000000-0008-0000-0200-000007000000}"/>
            </a:ext>
          </a:extLst>
        </xdr:cNvPr>
        <xdr:cNvSpPr txBox="1"/>
      </xdr:nvSpPr>
      <xdr:spPr>
        <a:xfrm>
          <a:off x="9525" y="10106025"/>
          <a:ext cx="2238374" cy="276226"/>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Office</a:t>
          </a:r>
          <a:endParaRPr lang="en-CA" sz="1000" b="1">
            <a:latin typeface="Arial" pitchFamily="34" charset="0"/>
            <a:cs typeface="Arial" pitchFamily="34" charset="0"/>
          </a:endParaRPr>
        </a:p>
      </xdr:txBody>
    </xdr:sp>
    <xdr:clientData/>
  </xdr:twoCellAnchor>
  <xdr:twoCellAnchor>
    <xdr:from>
      <xdr:col>5</xdr:col>
      <xdr:colOff>287655</xdr:colOff>
      <xdr:row>56</xdr:row>
      <xdr:rowOff>182880</xdr:rowOff>
    </xdr:from>
    <xdr:to>
      <xdr:col>6</xdr:col>
      <xdr:colOff>369771</xdr:colOff>
      <xdr:row>58</xdr:row>
      <xdr:rowOff>34612</xdr:rowOff>
    </xdr:to>
    <xdr:sp macro="" textlink="">
      <xdr:nvSpPr>
        <xdr:cNvPr id="8" name="TextBox 7">
          <a:hlinkClick xmlns:r="http://schemas.openxmlformats.org/officeDocument/2006/relationships" r:id="rId4" tooltip="Mail to:  mbfarmbusiness@gov.mb.ca - click once to follow."/>
          <a:extLst>
            <a:ext uri="{FF2B5EF4-FFF2-40B4-BE49-F238E27FC236}">
              <a16:creationId xmlns:a16="http://schemas.microsoft.com/office/drawing/2014/main" id="{00000000-0008-0000-0200-000008000000}"/>
            </a:ext>
          </a:extLst>
        </xdr:cNvPr>
        <xdr:cNvSpPr txBox="1"/>
      </xdr:nvSpPr>
      <xdr:spPr>
        <a:xfrm>
          <a:off x="4486275" y="12249150"/>
          <a:ext cx="7239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i="0" u="sng" strike="noStrike">
              <a:solidFill>
                <a:schemeClr val="dk1"/>
              </a:solidFill>
              <a:latin typeface="+mn-lt"/>
              <a:ea typeface="+mn-ea"/>
              <a:cs typeface="+mn-cs"/>
              <a:hlinkClick xmlns:r="http://schemas.openxmlformats.org/officeDocument/2006/relationships" r:id=""/>
            </a:rPr>
            <a:t>email us</a:t>
          </a:r>
          <a:r>
            <a:rPr lang="en-CA"/>
            <a:t> </a:t>
          </a:r>
          <a:endParaRPr lang="en-CA" sz="1100"/>
        </a:p>
      </xdr:txBody>
    </xdr:sp>
    <xdr:clientData/>
  </xdr:twoCellAnchor>
  <xdr:twoCellAnchor>
    <xdr:from>
      <xdr:col>1</xdr:col>
      <xdr:colOff>47625</xdr:colOff>
      <xdr:row>57</xdr:row>
      <xdr:rowOff>167640</xdr:rowOff>
    </xdr:from>
    <xdr:to>
      <xdr:col>1</xdr:col>
      <xdr:colOff>2059721</xdr:colOff>
      <xdr:row>59</xdr:row>
      <xdr:rowOff>38160</xdr:rowOff>
    </xdr:to>
    <xdr:sp macro="" textlink="">
      <xdr:nvSpPr>
        <xdr:cNvPr id="9" name="TextBox 8">
          <a:hlinkClick xmlns:r="http://schemas.openxmlformats.org/officeDocument/2006/relationships" r:id="rId2" tooltip="Click here for a list for Manitoba Agriculture and Resource Development Farm Management Specialists"/>
          <a:extLst>
            <a:ext uri="{FF2B5EF4-FFF2-40B4-BE49-F238E27FC236}">
              <a16:creationId xmlns:a16="http://schemas.microsoft.com/office/drawing/2014/main" id="{00000000-0008-0000-0200-000009000000}"/>
            </a:ext>
          </a:extLst>
        </xdr:cNvPr>
        <xdr:cNvSpPr txBox="1"/>
      </xdr:nvSpPr>
      <xdr:spPr>
        <a:xfrm>
          <a:off x="342900" y="10420350"/>
          <a:ext cx="2009775" cy="2571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farm management specialist </a:t>
          </a:r>
          <a:endParaRPr lang="en-CA" sz="1000" b="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oy.arnott@gov.mb.ca" TargetMode="External"/><Relationship Id="rId1" Type="http://schemas.openxmlformats.org/officeDocument/2006/relationships/hyperlink" Target="mailto:Benjamin.Hamm@gov.mb.ca"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6"/>
  <sheetViews>
    <sheetView tabSelected="1" zoomScaleNormal="100" workbookViewId="0"/>
  </sheetViews>
  <sheetFormatPr defaultColWidth="9.109375" defaultRowHeight="15" x14ac:dyDescent="0.25"/>
  <cols>
    <col min="1" max="1" width="2.44140625" style="57" customWidth="1"/>
    <col min="2" max="2" width="26.77734375" style="57" customWidth="1"/>
    <col min="3" max="8" width="12.5546875" style="57" customWidth="1"/>
    <col min="9" max="9" width="14.44140625" style="57" customWidth="1"/>
    <col min="10" max="10" width="12.44140625" style="57" customWidth="1"/>
    <col min="11" max="11" width="13" style="57" customWidth="1"/>
    <col min="12" max="16384" width="9.109375" style="57"/>
  </cols>
  <sheetData>
    <row r="1" spans="1:17" customFormat="1" ht="27" customHeight="1" x14ac:dyDescent="0.3">
      <c r="A1" s="1"/>
      <c r="B1" s="1"/>
      <c r="C1" s="2"/>
      <c r="D1" s="2"/>
      <c r="E1" s="2"/>
      <c r="F1" s="2"/>
    </row>
    <row r="2" spans="1:17" customFormat="1" ht="27.6" x14ac:dyDescent="0.45">
      <c r="A2" s="3" t="s">
        <v>114</v>
      </c>
      <c r="B2" s="1"/>
      <c r="C2" s="2"/>
      <c r="D2" s="2"/>
      <c r="E2" s="2"/>
      <c r="F2" s="2"/>
    </row>
    <row r="3" spans="1:17" customFormat="1" ht="21" x14ac:dyDescent="0.4">
      <c r="A3" s="129" t="s">
        <v>23</v>
      </c>
      <c r="B3" s="1"/>
      <c r="C3" s="2"/>
      <c r="D3" s="2"/>
      <c r="J3" s="5" t="s">
        <v>17</v>
      </c>
      <c r="K3" s="6">
        <f ca="1">TODAY()</f>
        <v>45418</v>
      </c>
    </row>
    <row r="4" spans="1:17" s="1" customFormat="1" ht="13.8" x14ac:dyDescent="0.25">
      <c r="A4" s="16"/>
      <c r="C4" s="14" t="s">
        <v>22</v>
      </c>
    </row>
    <row r="5" spans="1:17" ht="17.399999999999999" x14ac:dyDescent="0.25">
      <c r="A5" s="155" t="s">
        <v>115</v>
      </c>
      <c r="B5" s="155"/>
      <c r="C5" s="155"/>
      <c r="D5" s="155"/>
      <c r="E5" s="155"/>
      <c r="F5" s="155"/>
      <c r="G5" s="155"/>
      <c r="H5" s="155"/>
      <c r="I5" s="155"/>
      <c r="J5" s="155"/>
      <c r="K5" s="155"/>
    </row>
    <row r="6" spans="1:17" ht="47.25" customHeight="1" x14ac:dyDescent="0.3">
      <c r="A6" s="63"/>
      <c r="C6" s="69"/>
      <c r="D6" s="70"/>
      <c r="E6" s="133" t="s">
        <v>104</v>
      </c>
      <c r="F6" s="133" t="s">
        <v>103</v>
      </c>
      <c r="G6" s="133" t="s">
        <v>105</v>
      </c>
      <c r="H6" s="134" t="s">
        <v>38</v>
      </c>
      <c r="I6" s="134" t="s">
        <v>39</v>
      </c>
      <c r="J6" s="134" t="s">
        <v>101</v>
      </c>
      <c r="K6" s="133" t="s">
        <v>102</v>
      </c>
    </row>
    <row r="7" spans="1:17" ht="17.399999999999999" x14ac:dyDescent="0.3">
      <c r="A7" s="143" t="s">
        <v>119</v>
      </c>
      <c r="B7" s="63"/>
      <c r="D7" s="132" t="s">
        <v>116</v>
      </c>
      <c r="E7" s="125">
        <f t="shared" ref="E7:K7" si="0">E11/$D$19</f>
        <v>1.0518518518518518</v>
      </c>
      <c r="F7" s="125">
        <f t="shared" si="0"/>
        <v>1.3148148148148149</v>
      </c>
      <c r="G7" s="125">
        <f t="shared" si="0"/>
        <v>1.4462081128747795</v>
      </c>
      <c r="H7" s="125">
        <f t="shared" si="0"/>
        <v>0.36640432098765435</v>
      </c>
      <c r="I7" s="125">
        <f t="shared" si="0"/>
        <v>1.287037037037037</v>
      </c>
      <c r="J7" s="125">
        <f t="shared" si="0"/>
        <v>0.29111111111111115</v>
      </c>
      <c r="K7" s="125">
        <f t="shared" si="0"/>
        <v>0.64996059889676916</v>
      </c>
      <c r="M7" s="120"/>
      <c r="N7" s="120"/>
      <c r="O7" s="120"/>
      <c r="P7" s="120"/>
      <c r="Q7" s="120"/>
    </row>
    <row r="8" spans="1:17" ht="15.6" x14ac:dyDescent="0.3">
      <c r="A8" s="63"/>
      <c r="D8" s="132" t="s">
        <v>118</v>
      </c>
      <c r="E8" s="142">
        <f t="shared" ref="E8:K8" si="1">SUM(E12/$D$19)</f>
        <v>0</v>
      </c>
      <c r="F8" s="142">
        <f t="shared" si="1"/>
        <v>0</v>
      </c>
      <c r="G8" s="142">
        <f t="shared" si="1"/>
        <v>0</v>
      </c>
      <c r="H8" s="142">
        <f t="shared" si="1"/>
        <v>0.42260075223967625</v>
      </c>
      <c r="I8" s="142">
        <f t="shared" si="1"/>
        <v>0</v>
      </c>
      <c r="J8" s="142">
        <f t="shared" si="1"/>
        <v>1.025588710204558</v>
      </c>
      <c r="K8" s="142">
        <f t="shared" si="1"/>
        <v>0.67960451315023718</v>
      </c>
      <c r="M8" s="120"/>
      <c r="N8" s="120"/>
      <c r="O8" s="120"/>
      <c r="P8" s="120"/>
      <c r="Q8" s="120"/>
    </row>
    <row r="9" spans="1:17" ht="17.399999999999999" x14ac:dyDescent="0.3">
      <c r="A9" s="63"/>
      <c r="D9" s="144" t="str">
        <f>"Total Cost ("&amp;Pasture!D19&amp;" days pasture)"</f>
        <v>Total Cost (135 days pasture)</v>
      </c>
      <c r="E9" s="145">
        <f t="shared" ref="E9:K9" si="2">SUM(E7:E8)</f>
        <v>1.0518518518518518</v>
      </c>
      <c r="F9" s="145">
        <f t="shared" si="2"/>
        <v>1.3148148148148149</v>
      </c>
      <c r="G9" s="145">
        <f t="shared" si="2"/>
        <v>1.4462081128747795</v>
      </c>
      <c r="H9" s="145">
        <f t="shared" si="2"/>
        <v>0.7890050732273306</v>
      </c>
      <c r="I9" s="145">
        <f t="shared" si="2"/>
        <v>1.287037037037037</v>
      </c>
      <c r="J9" s="145">
        <f t="shared" si="2"/>
        <v>1.3166998213156691</v>
      </c>
      <c r="K9" s="145">
        <f t="shared" si="2"/>
        <v>1.3295651120470064</v>
      </c>
      <c r="M9" s="120"/>
      <c r="N9" s="120"/>
      <c r="O9" s="120"/>
      <c r="P9" s="120"/>
      <c r="Q9" s="120"/>
    </row>
    <row r="10" spans="1:17" ht="15.6" x14ac:dyDescent="0.3">
      <c r="A10" s="63"/>
      <c r="D10" s="132"/>
      <c r="E10" s="118"/>
      <c r="F10" s="118"/>
      <c r="G10" s="118"/>
      <c r="H10" s="118"/>
      <c r="I10" s="118"/>
      <c r="J10" s="118"/>
      <c r="K10" s="118"/>
      <c r="M10" s="120"/>
      <c r="N10" s="120"/>
      <c r="O10" s="120"/>
      <c r="P10" s="120"/>
      <c r="Q10" s="120"/>
    </row>
    <row r="11" spans="1:17" ht="17.399999999999999" x14ac:dyDescent="0.3">
      <c r="A11" s="143" t="s">
        <v>117</v>
      </c>
      <c r="B11" s="63"/>
      <c r="D11" s="132" t="s">
        <v>120</v>
      </c>
      <c r="E11" s="125">
        <f>E46*E28</f>
        <v>142</v>
      </c>
      <c r="F11" s="125">
        <f>F46*F28</f>
        <v>177.5</v>
      </c>
      <c r="G11" s="125">
        <f>G46*G28</f>
        <v>195.23809523809524</v>
      </c>
      <c r="H11" s="125">
        <f>H46*H28</f>
        <v>49.464583333333337</v>
      </c>
      <c r="I11" s="125">
        <f>SUM(I35*D19)+((I36*ROUND(Pasture!D16*Pasture!D18/100,0))/Pasture!D16)</f>
        <v>173.75</v>
      </c>
      <c r="J11" s="125">
        <f>J46*J28</f>
        <v>39.300000000000004</v>
      </c>
      <c r="K11" s="125">
        <f>K46*K28</f>
        <v>87.744680851063833</v>
      </c>
      <c r="M11" s="120"/>
      <c r="N11" s="120"/>
      <c r="O11" s="120"/>
      <c r="P11" s="120"/>
      <c r="Q11" s="120"/>
    </row>
    <row r="12" spans="1:17" ht="15.6" x14ac:dyDescent="0.3">
      <c r="A12" s="63"/>
      <c r="D12" s="132" t="s">
        <v>121</v>
      </c>
      <c r="E12" s="142">
        <f>E57*E28</f>
        <v>0</v>
      </c>
      <c r="F12" s="142">
        <f>F57*F28</f>
        <v>0</v>
      </c>
      <c r="G12" s="142">
        <f>G57*G28</f>
        <v>0</v>
      </c>
      <c r="H12" s="142">
        <f>H57*H28</f>
        <v>57.051101552356293</v>
      </c>
      <c r="I12" s="142">
        <v>0</v>
      </c>
      <c r="J12" s="142">
        <f>J57*J28</f>
        <v>138.45447587761532</v>
      </c>
      <c r="K12" s="142">
        <f>K57*K28</f>
        <v>91.746609275282012</v>
      </c>
      <c r="M12" s="120"/>
      <c r="N12" s="120"/>
      <c r="O12" s="120"/>
      <c r="P12" s="120"/>
      <c r="Q12" s="120"/>
    </row>
    <row r="13" spans="1:17" ht="17.399999999999999" x14ac:dyDescent="0.3">
      <c r="A13" s="63"/>
      <c r="D13" s="144" t="str">
        <f>"Total Cost ("&amp;Pasture!D19&amp;" days pasture)"</f>
        <v>Total Cost (135 days pasture)</v>
      </c>
      <c r="E13" s="145">
        <f t="shared" ref="E13:K13" si="3">SUM(E11:E12)</f>
        <v>142</v>
      </c>
      <c r="F13" s="145">
        <f t="shared" si="3"/>
        <v>177.5</v>
      </c>
      <c r="G13" s="145">
        <f t="shared" si="3"/>
        <v>195.23809523809524</v>
      </c>
      <c r="H13" s="145">
        <f t="shared" si="3"/>
        <v>106.51568488568964</v>
      </c>
      <c r="I13" s="145">
        <f t="shared" si="3"/>
        <v>173.75</v>
      </c>
      <c r="J13" s="145">
        <f t="shared" si="3"/>
        <v>177.75447587761533</v>
      </c>
      <c r="K13" s="145">
        <f t="shared" si="3"/>
        <v>179.49129012634586</v>
      </c>
      <c r="M13" s="120"/>
      <c r="N13" s="120"/>
      <c r="O13" s="120"/>
      <c r="P13" s="120"/>
      <c r="Q13" s="120"/>
    </row>
    <row r="14" spans="1:17" ht="7.5" customHeight="1" x14ac:dyDescent="0.25"/>
    <row r="15" spans="1:17" ht="18" customHeight="1" x14ac:dyDescent="0.3">
      <c r="A15" s="156" t="s">
        <v>122</v>
      </c>
      <c r="B15" s="156"/>
      <c r="C15" s="156"/>
      <c r="D15" s="156"/>
      <c r="E15" s="156"/>
      <c r="F15" s="156"/>
      <c r="G15" s="156"/>
      <c r="H15" s="156"/>
      <c r="I15" s="156"/>
      <c r="J15" s="156"/>
      <c r="K15" s="156"/>
    </row>
    <row r="16" spans="1:17" ht="15.6" x14ac:dyDescent="0.3">
      <c r="B16" s="146" t="s">
        <v>4</v>
      </c>
      <c r="D16" s="58">
        <v>300</v>
      </c>
      <c r="E16" s="60"/>
      <c r="H16" s="59"/>
    </row>
    <row r="17" spans="1:22" ht="15.6" x14ac:dyDescent="0.3">
      <c r="B17" s="60" t="s">
        <v>112</v>
      </c>
      <c r="D17" s="58">
        <v>1350</v>
      </c>
      <c r="E17" s="57" t="str">
        <f>"("&amp;TEXT(D17^0.75/1000^0.75,"#.##")&amp;" Animal Unit or AU value)"</f>
        <v>(1.25 Animal Unit or AU value)</v>
      </c>
      <c r="H17" s="59"/>
    </row>
    <row r="18" spans="1:22" ht="15.6" x14ac:dyDescent="0.3">
      <c r="B18" s="60" t="s">
        <v>34</v>
      </c>
      <c r="D18" s="61">
        <v>95</v>
      </c>
      <c r="E18" s="57" t="s">
        <v>35</v>
      </c>
      <c r="H18" s="62"/>
    </row>
    <row r="19" spans="1:22" ht="15.6" x14ac:dyDescent="0.3">
      <c r="B19" s="60" t="s">
        <v>113</v>
      </c>
      <c r="C19" s="65" t="str">
        <f>IF(D19&gt;365,"ERROR - More Than 365 Days",IF(D19&lt;0,"ERROR, less than 0",""))</f>
        <v/>
      </c>
      <c r="D19" s="58">
        <v>135</v>
      </c>
      <c r="E19" s="60" t="s">
        <v>36</v>
      </c>
      <c r="F19" s="67">
        <f>ROUND(D19/30,2)</f>
        <v>4.5</v>
      </c>
      <c r="G19" s="60" t="s">
        <v>37</v>
      </c>
    </row>
    <row r="20" spans="1:22" ht="7.5" customHeight="1" x14ac:dyDescent="0.3">
      <c r="M20" s="63"/>
      <c r="N20" s="64"/>
      <c r="O20" s="65"/>
      <c r="R20" s="66"/>
      <c r="S20" s="58"/>
      <c r="T20" s="60"/>
      <c r="U20" s="67"/>
      <c r="V20" s="60"/>
    </row>
    <row r="21" spans="1:22" ht="17.399999999999999" x14ac:dyDescent="0.25">
      <c r="A21" s="155" t="s">
        <v>123</v>
      </c>
      <c r="B21" s="155"/>
      <c r="C21" s="155"/>
      <c r="D21" s="155"/>
      <c r="E21" s="155"/>
      <c r="F21" s="155"/>
      <c r="G21" s="155"/>
      <c r="H21" s="155"/>
      <c r="I21" s="155"/>
      <c r="J21" s="155"/>
      <c r="K21" s="155"/>
    </row>
    <row r="22" spans="1:22" ht="46.8" x14ac:dyDescent="0.3">
      <c r="A22" s="1"/>
      <c r="B22" s="1"/>
      <c r="E22" s="133" t="s">
        <v>104</v>
      </c>
      <c r="F22" s="133" t="s">
        <v>103</v>
      </c>
      <c r="G22" s="133" t="s">
        <v>105</v>
      </c>
      <c r="H22" s="134" t="s">
        <v>38</v>
      </c>
      <c r="I22" s="134" t="s">
        <v>39</v>
      </c>
      <c r="J22" s="134" t="s">
        <v>101</v>
      </c>
      <c r="K22" s="133" t="s">
        <v>102</v>
      </c>
      <c r="M22" s="63"/>
      <c r="N22" s="64"/>
      <c r="O22" s="65"/>
      <c r="R22" s="66"/>
      <c r="S22" s="58"/>
      <c r="T22" s="60"/>
      <c r="U22" s="67"/>
      <c r="V22" s="60"/>
    </row>
    <row r="23" spans="1:22" ht="15.6" x14ac:dyDescent="0.3">
      <c r="A23" s="1"/>
      <c r="B23" s="146" t="s">
        <v>129</v>
      </c>
      <c r="E23" s="128">
        <v>750</v>
      </c>
      <c r="F23" s="128">
        <v>1000</v>
      </c>
      <c r="G23" s="128">
        <v>1500</v>
      </c>
      <c r="H23" s="74" t="s">
        <v>41</v>
      </c>
      <c r="I23" s="74" t="s">
        <v>41</v>
      </c>
      <c r="J23" s="74" t="s">
        <v>41</v>
      </c>
      <c r="K23" s="74" t="s">
        <v>41</v>
      </c>
      <c r="M23" s="63"/>
      <c r="N23" s="64"/>
      <c r="O23" s="65"/>
      <c r="R23" s="66"/>
      <c r="S23" s="58"/>
      <c r="T23" s="60"/>
      <c r="U23" s="67"/>
      <c r="V23" s="60"/>
    </row>
    <row r="24" spans="1:22" ht="15.6" x14ac:dyDescent="0.3">
      <c r="A24" s="1"/>
      <c r="B24" s="146" t="s">
        <v>110</v>
      </c>
      <c r="E24" s="127">
        <v>6</v>
      </c>
      <c r="F24" s="127">
        <v>8</v>
      </c>
      <c r="G24" s="127">
        <v>10</v>
      </c>
      <c r="H24" s="74" t="s">
        <v>41</v>
      </c>
      <c r="I24" s="74" t="s">
        <v>41</v>
      </c>
      <c r="J24" s="74" t="s">
        <v>41</v>
      </c>
      <c r="K24" s="74" t="s">
        <v>41</v>
      </c>
      <c r="M24" s="63"/>
      <c r="N24" s="64"/>
      <c r="O24" s="65"/>
      <c r="R24" s="66"/>
      <c r="S24" s="58"/>
      <c r="T24" s="60"/>
      <c r="U24" s="67"/>
      <c r="V24" s="60"/>
    </row>
    <row r="25" spans="1:22" ht="15.6" x14ac:dyDescent="0.3">
      <c r="A25" s="1"/>
      <c r="B25" s="146" t="s">
        <v>111</v>
      </c>
      <c r="E25" s="126">
        <v>2.75E-2</v>
      </c>
      <c r="F25" s="126">
        <v>2.75E-2</v>
      </c>
      <c r="G25" s="126">
        <v>2.75E-2</v>
      </c>
      <c r="H25" s="74" t="s">
        <v>41</v>
      </c>
      <c r="I25" s="74" t="s">
        <v>41</v>
      </c>
      <c r="J25" s="74" t="s">
        <v>41</v>
      </c>
      <c r="K25" s="74" t="s">
        <v>41</v>
      </c>
      <c r="M25" s="63"/>
      <c r="N25" s="64"/>
      <c r="O25" s="65"/>
      <c r="R25" s="66"/>
      <c r="S25" s="58"/>
      <c r="T25" s="60"/>
      <c r="U25" s="67"/>
      <c r="V25" s="60"/>
    </row>
    <row r="26" spans="1:22" ht="7.5" customHeight="1" x14ac:dyDescent="0.3">
      <c r="A26" s="1"/>
      <c r="B26" s="1"/>
      <c r="E26" s="147"/>
      <c r="F26" s="147"/>
      <c r="G26" s="147"/>
      <c r="M26" s="63"/>
      <c r="N26" s="64"/>
      <c r="O26" s="65"/>
      <c r="R26" s="66"/>
      <c r="S26" s="58"/>
      <c r="T26" s="60"/>
      <c r="U26" s="67"/>
      <c r="V26" s="60"/>
    </row>
    <row r="27" spans="1:22" ht="15.6" x14ac:dyDescent="0.3">
      <c r="B27" s="60" t="s">
        <v>40</v>
      </c>
      <c r="C27" s="70"/>
      <c r="D27" s="70"/>
      <c r="E27" s="73">
        <v>30</v>
      </c>
      <c r="F27" s="73">
        <v>32</v>
      </c>
      <c r="G27" s="73">
        <v>42</v>
      </c>
      <c r="H27" s="73">
        <v>12</v>
      </c>
      <c r="I27" s="74" t="s">
        <v>41</v>
      </c>
      <c r="J27" s="73">
        <v>32</v>
      </c>
      <c r="K27" s="73">
        <v>94</v>
      </c>
    </row>
    <row r="28" spans="1:22" ht="15.6" x14ac:dyDescent="0.3">
      <c r="B28" s="69" t="s">
        <v>42</v>
      </c>
      <c r="C28" s="70"/>
      <c r="D28" s="70"/>
      <c r="E28" s="75">
        <f>SUM(160/E27)</f>
        <v>5.333333333333333</v>
      </c>
      <c r="F28" s="75">
        <f>SUM(160/F27)</f>
        <v>5</v>
      </c>
      <c r="G28" s="75">
        <f>SUM(160/G27)</f>
        <v>3.8095238095238093</v>
      </c>
      <c r="H28" s="75">
        <f>SUM(160/H27)</f>
        <v>13.333333333333334</v>
      </c>
      <c r="I28" s="74" t="s">
        <v>41</v>
      </c>
      <c r="J28" s="75">
        <f>SUM(160/J27)</f>
        <v>5</v>
      </c>
      <c r="K28" s="75">
        <f>SUM(160/K27)</f>
        <v>1.7021276595744681</v>
      </c>
    </row>
    <row r="29" spans="1:22" ht="15.6" x14ac:dyDescent="0.3">
      <c r="B29" s="69" t="s">
        <v>43</v>
      </c>
      <c r="C29" s="70"/>
      <c r="D29" s="69"/>
      <c r="E29" s="76">
        <f>ROUND(E28*$D$16,0)</f>
        <v>1600</v>
      </c>
      <c r="F29" s="76">
        <f>ROUND(F28*$D$16,0)</f>
        <v>1500</v>
      </c>
      <c r="G29" s="76">
        <f>ROUND(G28*$D$16,0)</f>
        <v>1143</v>
      </c>
      <c r="H29" s="76">
        <f>ROUND(H28*$D$16,0)</f>
        <v>4000</v>
      </c>
      <c r="I29" s="74" t="s">
        <v>41</v>
      </c>
      <c r="J29" s="76">
        <f>ROUND(J28*$D$16,0)</f>
        <v>1500</v>
      </c>
      <c r="K29" s="76">
        <f>ROUND(K28*$D$16,0)</f>
        <v>511</v>
      </c>
    </row>
    <row r="30" spans="1:22" ht="7.5" customHeight="1" x14ac:dyDescent="0.3">
      <c r="B30" s="69"/>
      <c r="C30" s="70"/>
      <c r="D30" s="69"/>
      <c r="E30" s="69"/>
      <c r="F30" s="69"/>
      <c r="G30" s="69"/>
      <c r="H30" s="77"/>
      <c r="J30" s="76"/>
      <c r="K30" s="77"/>
    </row>
    <row r="31" spans="1:22" ht="15.75" customHeight="1" x14ac:dyDescent="0.3">
      <c r="B31" s="69" t="s">
        <v>130</v>
      </c>
      <c r="C31" s="70"/>
      <c r="D31" s="69"/>
      <c r="E31" s="74" t="s">
        <v>41</v>
      </c>
      <c r="F31" s="74" t="s">
        <v>41</v>
      </c>
      <c r="G31" s="74" t="s">
        <v>41</v>
      </c>
      <c r="H31" s="152">
        <v>3.65</v>
      </c>
      <c r="I31" s="74" t="s">
        <v>41</v>
      </c>
      <c r="J31" s="74" t="s">
        <v>41</v>
      </c>
      <c r="K31" s="74" t="s">
        <v>41</v>
      </c>
    </row>
    <row r="32" spans="1:22" ht="15.75" customHeight="1" x14ac:dyDescent="0.3">
      <c r="B32" s="69" t="s">
        <v>131</v>
      </c>
      <c r="C32" s="70"/>
      <c r="D32" s="69"/>
      <c r="E32" s="74" t="s">
        <v>41</v>
      </c>
      <c r="F32" s="74" t="s">
        <v>41</v>
      </c>
      <c r="G32" s="74" t="s">
        <v>41</v>
      </c>
      <c r="H32" s="78">
        <v>200</v>
      </c>
      <c r="I32" s="74" t="s">
        <v>41</v>
      </c>
      <c r="J32" s="74" t="s">
        <v>41</v>
      </c>
      <c r="K32" s="74" t="s">
        <v>41</v>
      </c>
    </row>
    <row r="33" spans="1:11" ht="15.75" customHeight="1" x14ac:dyDescent="0.3">
      <c r="B33" s="69" t="s">
        <v>132</v>
      </c>
      <c r="C33" s="70"/>
      <c r="D33" s="69"/>
      <c r="E33" s="74"/>
      <c r="F33" s="74"/>
      <c r="G33" s="74"/>
      <c r="H33" s="78">
        <v>0</v>
      </c>
      <c r="I33" s="74"/>
      <c r="J33" s="74"/>
      <c r="K33" s="74"/>
    </row>
    <row r="34" spans="1:11" ht="15.6" x14ac:dyDescent="0.3">
      <c r="B34" s="60" t="s">
        <v>44</v>
      </c>
      <c r="E34" s="148">
        <f>SUM(((E23*E25)+E24)*160)</f>
        <v>4260</v>
      </c>
      <c r="F34" s="148">
        <f>SUM(((F23*F25)+F24)*160)</f>
        <v>5680</v>
      </c>
      <c r="G34" s="148">
        <f>SUM(((G23*G25)+G24)*160)</f>
        <v>8200</v>
      </c>
      <c r="H34" s="149">
        <f>SUM((F19*'Fence Cost &amp; AUM Analysis'!H45*H27)*H31)+H32+H33</f>
        <v>446.375</v>
      </c>
      <c r="I34" s="74" t="s">
        <v>41</v>
      </c>
      <c r="J34" s="74" t="s">
        <v>41</v>
      </c>
      <c r="K34" s="74" t="s">
        <v>41</v>
      </c>
    </row>
    <row r="35" spans="1:11" ht="15.6" x14ac:dyDescent="0.3">
      <c r="B35" s="60" t="s">
        <v>45</v>
      </c>
      <c r="E35" s="74" t="s">
        <v>41</v>
      </c>
      <c r="F35" s="74" t="s">
        <v>41</v>
      </c>
      <c r="G35" s="74" t="s">
        <v>41</v>
      </c>
      <c r="H35" s="74" t="s">
        <v>41</v>
      </c>
      <c r="I35" s="79">
        <v>0.9</v>
      </c>
      <c r="J35" s="74" t="s">
        <v>41</v>
      </c>
      <c r="K35" s="74" t="s">
        <v>41</v>
      </c>
    </row>
    <row r="36" spans="1:11" ht="15.6" x14ac:dyDescent="0.3">
      <c r="B36" s="60" t="s">
        <v>46</v>
      </c>
      <c r="E36" s="74" t="s">
        <v>41</v>
      </c>
      <c r="F36" s="74" t="s">
        <v>41</v>
      </c>
      <c r="G36" s="74" t="s">
        <v>41</v>
      </c>
      <c r="H36" s="74" t="s">
        <v>41</v>
      </c>
      <c r="I36" s="79">
        <v>55</v>
      </c>
      <c r="J36" s="74" t="s">
        <v>41</v>
      </c>
      <c r="K36" s="74" t="s">
        <v>41</v>
      </c>
    </row>
    <row r="37" spans="1:11" ht="7.5" customHeight="1" x14ac:dyDescent="0.3">
      <c r="A37" s="60"/>
      <c r="H37" s="80"/>
      <c r="I37" s="81"/>
      <c r="J37" s="80"/>
      <c r="K37" s="80"/>
    </row>
    <row r="38" spans="1:11" ht="15.75" customHeight="1" x14ac:dyDescent="0.3">
      <c r="A38" s="115" t="s">
        <v>77</v>
      </c>
      <c r="B38" s="70"/>
      <c r="C38" s="69"/>
      <c r="D38" s="70"/>
      <c r="E38" s="72"/>
      <c r="F38" s="72"/>
      <c r="G38" s="72"/>
      <c r="H38" s="71"/>
      <c r="I38" s="71"/>
      <c r="J38" s="71"/>
      <c r="K38" s="72"/>
    </row>
    <row r="39" spans="1:11" ht="15.6" x14ac:dyDescent="0.3">
      <c r="B39" s="60" t="s">
        <v>78</v>
      </c>
      <c r="E39" s="74" t="s">
        <v>41</v>
      </c>
      <c r="F39" s="74" t="s">
        <v>41</v>
      </c>
      <c r="G39" s="74" t="s">
        <v>41</v>
      </c>
      <c r="H39" s="74" t="s">
        <v>41</v>
      </c>
      <c r="I39" s="74" t="s">
        <v>41</v>
      </c>
      <c r="J39" s="79">
        <v>0</v>
      </c>
      <c r="K39" s="79">
        <v>17.75</v>
      </c>
    </row>
    <row r="40" spans="1:11" ht="15.6" x14ac:dyDescent="0.3">
      <c r="B40" s="60" t="s">
        <v>79</v>
      </c>
      <c r="E40" s="79">
        <v>0</v>
      </c>
      <c r="F40" s="79">
        <v>0</v>
      </c>
      <c r="G40" s="79">
        <v>0</v>
      </c>
      <c r="H40" s="74" t="s">
        <v>41</v>
      </c>
      <c r="I40" s="74" t="s">
        <v>41</v>
      </c>
      <c r="J40" s="79">
        <v>0</v>
      </c>
      <c r="K40" s="79">
        <v>20.34</v>
      </c>
    </row>
    <row r="41" spans="1:11" ht="15.6" x14ac:dyDescent="0.3">
      <c r="B41" s="60" t="s">
        <v>80</v>
      </c>
      <c r="E41" s="79">
        <v>0</v>
      </c>
      <c r="F41" s="79">
        <v>0</v>
      </c>
      <c r="G41" s="79">
        <v>0</v>
      </c>
      <c r="H41" s="79">
        <v>0</v>
      </c>
      <c r="I41" s="74" t="s">
        <v>41</v>
      </c>
      <c r="J41" s="79">
        <v>1</v>
      </c>
      <c r="K41" s="79">
        <v>1</v>
      </c>
    </row>
    <row r="42" spans="1:11" ht="15.6" x14ac:dyDescent="0.3">
      <c r="B42" s="60" t="s">
        <v>81</v>
      </c>
      <c r="E42" s="79">
        <v>0</v>
      </c>
      <c r="F42" s="79">
        <v>0</v>
      </c>
      <c r="G42" s="79">
        <v>0</v>
      </c>
      <c r="H42" s="116">
        <f>SUM('Fence Cost &amp; AUM Analysis'!G27*'Fence Cost &amp; AUM Analysis'!$E$39)</f>
        <v>0.92</v>
      </c>
      <c r="I42" s="74" t="s">
        <v>41</v>
      </c>
      <c r="J42" s="116">
        <f>SUM('Fence Cost &amp; AUM Analysis'!E27*'Fence Cost &amp; AUM Analysis'!$E$39)</f>
        <v>1.86</v>
      </c>
      <c r="K42" s="116">
        <f>SUM('Fence Cost &amp; AUM Analysis'!F27*'Fence Cost &amp; AUM Analysis'!$E$39)</f>
        <v>2.46</v>
      </c>
    </row>
    <row r="43" spans="1:11" ht="15.6" x14ac:dyDescent="0.3">
      <c r="B43" s="60" t="s">
        <v>100</v>
      </c>
      <c r="E43" s="116">
        <f>SUM(E34/160)</f>
        <v>26.625</v>
      </c>
      <c r="F43" s="116">
        <f>SUM(F34/160)</f>
        <v>35.5</v>
      </c>
      <c r="G43" s="116">
        <f>SUM(G34/160)</f>
        <v>51.25</v>
      </c>
      <c r="H43" s="116">
        <f>SUM(H34/160)</f>
        <v>2.7898437500000002</v>
      </c>
      <c r="I43" s="74" t="s">
        <v>41</v>
      </c>
      <c r="J43" s="74" t="s">
        <v>41</v>
      </c>
      <c r="K43" s="74" t="s">
        <v>41</v>
      </c>
    </row>
    <row r="44" spans="1:11" ht="15.6" x14ac:dyDescent="0.3">
      <c r="B44" s="60" t="s">
        <v>82</v>
      </c>
      <c r="E44" s="74" t="s">
        <v>41</v>
      </c>
      <c r="F44" s="74" t="s">
        <v>41</v>
      </c>
      <c r="G44" s="74" t="s">
        <v>41</v>
      </c>
      <c r="H44" s="74" t="s">
        <v>41</v>
      </c>
      <c r="I44" s="74" t="s">
        <v>41</v>
      </c>
      <c r="J44" s="79">
        <v>5</v>
      </c>
      <c r="K44" s="79">
        <v>10</v>
      </c>
    </row>
    <row r="45" spans="1:11" ht="15.6" x14ac:dyDescent="0.3">
      <c r="B45" s="60" t="s">
        <v>83</v>
      </c>
      <c r="E45" s="117">
        <v>0</v>
      </c>
      <c r="F45" s="117">
        <v>0</v>
      </c>
      <c r="G45" s="117">
        <v>0</v>
      </c>
      <c r="H45" s="117">
        <v>0</v>
      </c>
      <c r="I45" s="74" t="s">
        <v>41</v>
      </c>
      <c r="J45" s="117">
        <v>0</v>
      </c>
      <c r="K45" s="117">
        <v>0</v>
      </c>
    </row>
    <row r="46" spans="1:11" ht="15.6" x14ac:dyDescent="0.3">
      <c r="B46" s="63" t="s">
        <v>84</v>
      </c>
      <c r="E46" s="118">
        <f>SUM(E39:E45)</f>
        <v>26.625</v>
      </c>
      <c r="F46" s="118">
        <f>SUM(F39:F45)</f>
        <v>35.5</v>
      </c>
      <c r="G46" s="118">
        <f>SUM(G39:G45)</f>
        <v>51.25</v>
      </c>
      <c r="H46" s="118">
        <f>SUM(H39:H45)</f>
        <v>3.7098437500000001</v>
      </c>
      <c r="I46" s="74" t="s">
        <v>41</v>
      </c>
      <c r="J46" s="118">
        <f>SUM(J39:J45)</f>
        <v>7.86</v>
      </c>
      <c r="K46" s="118">
        <f>SUM(K39:K45)</f>
        <v>51.550000000000004</v>
      </c>
    </row>
    <row r="47" spans="1:11" ht="15.6" x14ac:dyDescent="0.3">
      <c r="A47" s="115" t="s">
        <v>85</v>
      </c>
    </row>
    <row r="48" spans="1:11" ht="15.6" x14ac:dyDescent="0.3">
      <c r="B48" s="69" t="s">
        <v>108</v>
      </c>
      <c r="C48" s="69"/>
      <c r="D48" s="69"/>
      <c r="E48" s="82"/>
      <c r="F48" s="82"/>
      <c r="G48" s="82"/>
      <c r="H48" s="82"/>
    </row>
    <row r="49" spans="1:11" ht="15.6" x14ac:dyDescent="0.3">
      <c r="A49" s="76"/>
      <c r="B49" s="83" t="s">
        <v>109</v>
      </c>
      <c r="C49" s="69"/>
      <c r="D49" s="69"/>
      <c r="E49" s="74" t="s">
        <v>41</v>
      </c>
      <c r="F49" s="74" t="s">
        <v>41</v>
      </c>
      <c r="G49" s="74" t="s">
        <v>41</v>
      </c>
      <c r="H49" s="74" t="s">
        <v>41</v>
      </c>
      <c r="I49" s="74" t="s">
        <v>41</v>
      </c>
      <c r="J49" s="84">
        <v>813</v>
      </c>
      <c r="K49" s="84">
        <v>1813</v>
      </c>
    </row>
    <row r="50" spans="1:11" ht="15.6" x14ac:dyDescent="0.3">
      <c r="B50" s="85" t="s">
        <v>47</v>
      </c>
      <c r="C50" s="70"/>
      <c r="D50" s="86">
        <v>0.75</v>
      </c>
      <c r="E50" s="82"/>
      <c r="F50" s="82"/>
      <c r="G50" s="82"/>
      <c r="H50" s="69"/>
      <c r="K50" s="87"/>
    </row>
    <row r="51" spans="1:11" ht="15.6" x14ac:dyDescent="0.3">
      <c r="B51" s="85" t="s">
        <v>48</v>
      </c>
      <c r="C51" s="70"/>
      <c r="D51" s="88">
        <f>SUM(1-D50)</f>
        <v>0.25</v>
      </c>
      <c r="E51" s="82"/>
      <c r="F51" s="82"/>
      <c r="G51" s="82"/>
      <c r="H51" s="69"/>
      <c r="K51" s="88"/>
    </row>
    <row r="52" spans="1:11" ht="15.6" x14ac:dyDescent="0.3">
      <c r="B52" s="85" t="s">
        <v>49</v>
      </c>
      <c r="C52" s="70"/>
      <c r="D52" s="89">
        <v>0</v>
      </c>
      <c r="E52" s="82"/>
      <c r="F52" s="82"/>
      <c r="G52" s="82"/>
      <c r="H52" s="69"/>
      <c r="K52" s="90"/>
    </row>
    <row r="53" spans="1:11" ht="15.6" x14ac:dyDescent="0.3">
      <c r="B53" s="85" t="s">
        <v>50</v>
      </c>
      <c r="C53" s="92">
        <v>0.08</v>
      </c>
      <c r="D53" s="93">
        <v>25</v>
      </c>
      <c r="E53" s="63" t="s">
        <v>51</v>
      </c>
    </row>
    <row r="54" spans="1:11" ht="15.6" x14ac:dyDescent="0.3">
      <c r="B54" s="85" t="s">
        <v>106</v>
      </c>
      <c r="C54" s="70"/>
      <c r="D54" s="70"/>
      <c r="E54" s="74" t="s">
        <v>41</v>
      </c>
      <c r="F54" s="74" t="s">
        <v>41</v>
      </c>
      <c r="G54" s="74" t="s">
        <v>41</v>
      </c>
      <c r="H54" s="74" t="s">
        <v>41</v>
      </c>
      <c r="I54" s="74" t="s">
        <v>41</v>
      </c>
      <c r="J54" s="94">
        <f>-PMT(C53,D53,J49*D51,0)</f>
        <v>19.040211842312523</v>
      </c>
      <c r="K54" s="94">
        <f>-PMT(C53,D53,K49*D51,0)</f>
        <v>42.45990660530456</v>
      </c>
    </row>
    <row r="55" spans="1:11" ht="15.6" x14ac:dyDescent="0.3">
      <c r="B55" s="85" t="s">
        <v>107</v>
      </c>
      <c r="C55" s="70"/>
      <c r="D55" s="70"/>
      <c r="E55" s="74" t="s">
        <v>41</v>
      </c>
      <c r="F55" s="74" t="s">
        <v>41</v>
      </c>
      <c r="G55" s="74" t="s">
        <v>41</v>
      </c>
      <c r="H55" s="74" t="s">
        <v>41</v>
      </c>
      <c r="I55" s="74" t="s">
        <v>41</v>
      </c>
      <c r="J55" s="110">
        <f>SUM(J49*D50)*(D52)</f>
        <v>0</v>
      </c>
      <c r="K55" s="110">
        <f>SUM(K49*D50)*(D52)</f>
        <v>0</v>
      </c>
    </row>
    <row r="56" spans="1:11" ht="15.6" x14ac:dyDescent="0.3">
      <c r="B56" s="60" t="s">
        <v>86</v>
      </c>
      <c r="E56" s="74" t="s">
        <v>41</v>
      </c>
      <c r="F56" s="74" t="s">
        <v>41</v>
      </c>
      <c r="G56" s="74" t="s">
        <v>41</v>
      </c>
      <c r="H56" s="119">
        <f>'Fence Cost &amp; AUM Analysis'!G37</f>
        <v>4.2788326164267216</v>
      </c>
      <c r="I56" s="74" t="s">
        <v>41</v>
      </c>
      <c r="J56" s="119">
        <f>'Fence Cost &amp; AUM Analysis'!E37</f>
        <v>8.6506833332105462</v>
      </c>
      <c r="K56" s="119">
        <f>'Fence Cost &amp; AUM Analysis'!F37</f>
        <v>11.441226343923626</v>
      </c>
    </row>
    <row r="57" spans="1:11" ht="15.6" x14ac:dyDescent="0.3">
      <c r="B57" s="63" t="s">
        <v>87</v>
      </c>
      <c r="E57" s="118">
        <f>SUM(E56:E56)</f>
        <v>0</v>
      </c>
      <c r="F57" s="118">
        <f>SUM(F56:F56)</f>
        <v>0</v>
      </c>
      <c r="G57" s="118">
        <f>SUM(G56:G56)</f>
        <v>0</v>
      </c>
      <c r="H57" s="118">
        <f>SUM(H56:H56)</f>
        <v>4.2788326164267216</v>
      </c>
      <c r="I57" s="74" t="s">
        <v>41</v>
      </c>
      <c r="J57" s="118">
        <f>SUM(J54:J56)</f>
        <v>27.690895175523067</v>
      </c>
      <c r="K57" s="118">
        <f>SUM(K54:K56)</f>
        <v>53.901132949228185</v>
      </c>
    </row>
    <row r="58" spans="1:11" ht="7.5" customHeight="1" x14ac:dyDescent="0.25"/>
    <row r="59" spans="1:11" s="56" customFormat="1" ht="18" customHeight="1" x14ac:dyDescent="0.25">
      <c r="A59" s="154" t="s">
        <v>124</v>
      </c>
      <c r="B59" s="154"/>
      <c r="C59" s="154"/>
      <c r="D59" s="154"/>
      <c r="E59" s="154"/>
      <c r="F59" s="154"/>
      <c r="G59" s="154"/>
      <c r="H59" s="154"/>
      <c r="I59" s="154"/>
      <c r="J59" s="154"/>
      <c r="K59" s="154"/>
    </row>
    <row r="60" spans="1:11" ht="47.25" customHeight="1" x14ac:dyDescent="0.3">
      <c r="A60" s="63"/>
      <c r="C60" s="69"/>
      <c r="D60" s="70"/>
      <c r="E60" s="133" t="s">
        <v>104</v>
      </c>
      <c r="F60" s="133" t="s">
        <v>103</v>
      </c>
      <c r="G60" s="133" t="s">
        <v>105</v>
      </c>
      <c r="H60" s="134" t="s">
        <v>38</v>
      </c>
      <c r="I60" s="134" t="s">
        <v>39</v>
      </c>
      <c r="J60" s="134" t="s">
        <v>101</v>
      </c>
      <c r="K60" s="133" t="s">
        <v>102</v>
      </c>
    </row>
    <row r="62" spans="1:11" ht="15.6" x14ac:dyDescent="0.3">
      <c r="A62" s="136" t="s">
        <v>126</v>
      </c>
      <c r="E62" s="138" t="str">
        <f>"(from "&amp;E27&amp;" hd)"</f>
        <v>(from 30 hd)</v>
      </c>
      <c r="F62" s="138" t="str">
        <f>"(from "&amp;F27&amp;" hd)"</f>
        <v>(from 32 hd)</v>
      </c>
      <c r="G62" s="138" t="str">
        <f>"(from "&amp;G27&amp;" hd)"</f>
        <v>(from 42 hd)</v>
      </c>
      <c r="H62" s="138" t="str">
        <f>"(from "&amp;H27&amp;" hd)"</f>
        <v>(from 12 hd)</v>
      </c>
      <c r="I62" s="138"/>
      <c r="J62" s="138" t="str">
        <f>"(from "&amp;J27&amp;" hd)"</f>
        <v>(from 32 hd)</v>
      </c>
      <c r="K62" s="138" t="str">
        <f>"(from "&amp;K27&amp;" hd)"</f>
        <v>(from 94 hd)</v>
      </c>
    </row>
    <row r="63" spans="1:11" ht="15.6" x14ac:dyDescent="0.3">
      <c r="D63" s="66" t="s">
        <v>127</v>
      </c>
      <c r="E63" s="135">
        <v>2</v>
      </c>
      <c r="F63" s="135">
        <v>2</v>
      </c>
      <c r="G63" s="135">
        <v>2</v>
      </c>
      <c r="H63" s="135">
        <v>2</v>
      </c>
      <c r="I63" s="74" t="s">
        <v>41</v>
      </c>
      <c r="J63" s="135">
        <v>2</v>
      </c>
      <c r="K63" s="135">
        <v>5</v>
      </c>
    </row>
    <row r="64" spans="1:11" ht="15.6" x14ac:dyDescent="0.3">
      <c r="D64" s="66" t="s">
        <v>133</v>
      </c>
      <c r="E64" s="140">
        <f>ROUND(ROUND((E46+E57)/ROUND(((E27+E63)/160),2),2)/$D$19,2)</f>
        <v>0.99</v>
      </c>
      <c r="F64" s="140">
        <f>ROUND(ROUND((F46+F57)/ROUND(((F27+F63)/160),2),2)/$D$19,2)</f>
        <v>1.25</v>
      </c>
      <c r="G64" s="140">
        <f>ROUND(ROUND((G46+G57)/ROUND(((G27+G63)/160),2),2)/$D$19,2)</f>
        <v>1.36</v>
      </c>
      <c r="H64" s="140">
        <f>ROUND(ROUND((H46+H57)/ROUND(((H27+H63)/160),2),2)/$D$19,2)</f>
        <v>0.66</v>
      </c>
      <c r="I64" s="74" t="s">
        <v>41</v>
      </c>
      <c r="J64" s="140">
        <f>ROUND(ROUND((J46+J57)/ROUND(((J27+J63)/160),2),2)/$D$19,2)</f>
        <v>1.25</v>
      </c>
      <c r="K64" s="140">
        <f>ROUND(ROUND((K46+K57)/ROUND(((K27+K63)/160),2),2)/$D$19,2)</f>
        <v>1.26</v>
      </c>
    </row>
    <row r="65" spans="1:16" ht="7.5" customHeight="1" x14ac:dyDescent="0.3">
      <c r="D65" s="66"/>
      <c r="E65" s="137"/>
    </row>
    <row r="66" spans="1:16" ht="15.6" x14ac:dyDescent="0.3">
      <c r="A66" s="136" t="s">
        <v>125</v>
      </c>
      <c r="E66" s="139" t="str">
        <f>"(from "&amp;D19&amp;" days)"</f>
        <v>(from 135 days)</v>
      </c>
    </row>
    <row r="67" spans="1:16" ht="15.6" x14ac:dyDescent="0.3">
      <c r="D67" s="66" t="s">
        <v>127</v>
      </c>
      <c r="E67" s="135">
        <v>-5</v>
      </c>
      <c r="F67" s="135">
        <v>-5</v>
      </c>
      <c r="G67" s="135">
        <v>-5</v>
      </c>
      <c r="H67" s="135">
        <v>-5</v>
      </c>
      <c r="I67" s="135">
        <v>-5</v>
      </c>
      <c r="J67" s="135">
        <v>-5</v>
      </c>
      <c r="K67" s="135">
        <v>-5</v>
      </c>
    </row>
    <row r="68" spans="1:16" ht="15.6" x14ac:dyDescent="0.3">
      <c r="D68" s="66" t="s">
        <v>133</v>
      </c>
      <c r="E68" s="140">
        <f>ROUND(ROUND((E46+E57)/ROUND(((E27)/160),2),2)/($D$19+E67),2)</f>
        <v>1.08</v>
      </c>
      <c r="F68" s="140">
        <f>ROUND(ROUND((F46+F57)/ROUND(((F27)/160),2),2)/($D$19+F67),2)</f>
        <v>1.37</v>
      </c>
      <c r="G68" s="140">
        <f>ROUND(ROUND((G46+G57)/ROUND(((G27)/160),2),2)/($D$19+G67),2)</f>
        <v>1.52</v>
      </c>
      <c r="H68" s="140">
        <f>ROUND(ROUND((H46+H57)/ROUND(((H27)/160),2),2)/($D$19+H67),2)</f>
        <v>0.77</v>
      </c>
      <c r="I68" s="141">
        <f>SUM(((I35*D19)+((I36*ROUND(Pasture!D16*Pasture!D18/100,0))/Pasture!D16))/($D$19+I67))</f>
        <v>1.3365384615384615</v>
      </c>
      <c r="J68" s="140">
        <f>ROUND(ROUND((J46+J57)/ROUND(((J27)/160),2),2)/($D$19+J67),2)</f>
        <v>1.37</v>
      </c>
      <c r="K68" s="140">
        <f>ROUND(ROUND((K46+K57)/ROUND(((K27)/160),2),2)/($D$19+K67),2)</f>
        <v>1.37</v>
      </c>
    </row>
    <row r="69" spans="1:16" ht="7.5" customHeight="1" x14ac:dyDescent="0.25"/>
    <row r="70" spans="1:16" s="15" customFormat="1" ht="14.25" customHeight="1" x14ac:dyDescent="0.3">
      <c r="A70" s="153" t="s">
        <v>128</v>
      </c>
      <c r="B70" s="153"/>
      <c r="C70" s="153"/>
      <c r="D70" s="153"/>
      <c r="E70" s="153"/>
      <c r="F70" s="153"/>
      <c r="G70" s="153"/>
      <c r="H70" s="153"/>
      <c r="I70" s="153"/>
      <c r="J70" s="153"/>
      <c r="K70" s="153"/>
    </row>
    <row r="71" spans="1:16" s="15" customFormat="1" ht="14.25" customHeight="1" x14ac:dyDescent="0.3">
      <c r="A71" s="153"/>
      <c r="B71" s="153"/>
      <c r="C71" s="153"/>
      <c r="D71" s="153"/>
      <c r="E71" s="153"/>
      <c r="F71" s="153"/>
      <c r="G71" s="153"/>
      <c r="H71" s="153"/>
      <c r="I71" s="153"/>
      <c r="J71" s="153"/>
      <c r="K71" s="153"/>
    </row>
    <row r="72" spans="1:16" customFormat="1" ht="7.5" customHeight="1" x14ac:dyDescent="0.3"/>
    <row r="73" spans="1:16" customFormat="1" ht="14.55" customHeight="1" x14ac:dyDescent="0.3">
      <c r="A73" s="16"/>
      <c r="B73" s="16"/>
      <c r="C73" s="16"/>
      <c r="E73" s="44"/>
      <c r="F73" s="44"/>
      <c r="G73" s="44"/>
      <c r="H73" s="44"/>
      <c r="I73" s="44"/>
      <c r="J73" s="44"/>
      <c r="K73" s="130" t="s">
        <v>134</v>
      </c>
      <c r="L73" s="39"/>
      <c r="N73" s="40"/>
      <c r="O73" s="41"/>
      <c r="P73" s="41"/>
    </row>
    <row r="74" spans="1:16" customFormat="1" ht="16.5" customHeight="1" x14ac:dyDescent="0.3">
      <c r="A74" s="131"/>
      <c r="B74" s="43"/>
      <c r="C74" s="43"/>
      <c r="D74" s="43"/>
      <c r="N74" s="40"/>
      <c r="O74" s="41"/>
      <c r="P74" s="41"/>
    </row>
    <row r="75" spans="1:16" s="7" customFormat="1" ht="14.4" x14ac:dyDescent="0.3">
      <c r="A75"/>
      <c r="B75" s="151"/>
      <c r="D75"/>
      <c r="E75" s="9"/>
      <c r="G75"/>
    </row>
    <row r="76" spans="1:16" s="7" customFormat="1" ht="13.8" x14ac:dyDescent="0.25">
      <c r="E76" s="11"/>
      <c r="G76" s="150"/>
    </row>
  </sheetData>
  <sheetProtection algorithmName="SHA-512" hashValue="xO4ON3S8zppIxAuC6qfhTEm067W/cdbJ67ez49kVXM57BwSiHUvDoCUMYEjcvxs2PqgsHtEZ0FSjTJHWBpwJtA==" saltValue="80w2ceww7lPT8BwwgnqReg==" spinCount="100000" sheet="1" objects="1" scenarios="1"/>
  <mergeCells count="5">
    <mergeCell ref="A70:K71"/>
    <mergeCell ref="A59:K59"/>
    <mergeCell ref="A5:K5"/>
    <mergeCell ref="A21:K21"/>
    <mergeCell ref="A15:K15"/>
  </mergeCells>
  <printOptions horizontalCentered="1"/>
  <pageMargins left="0.51181102362204722" right="0.51181102362204722" top="0.55118110236220474" bottom="0.43307086614173229" header="0.31496062992125984" footer="0.31496062992125984"/>
  <pageSetup scale="56" firstPageNumber="1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topLeftCell="A10" zoomScaleNormal="100" workbookViewId="0">
      <selection sqref="A1:J1"/>
    </sheetView>
  </sheetViews>
  <sheetFormatPr defaultRowHeight="14.4" x14ac:dyDescent="0.3"/>
  <cols>
    <col min="1" max="1" width="3.77734375" customWidth="1"/>
    <col min="2" max="2" width="22" customWidth="1"/>
    <col min="3" max="3" width="12.109375" customWidth="1"/>
    <col min="4" max="4" width="10.44140625" customWidth="1"/>
    <col min="5" max="8" width="12.6640625" customWidth="1"/>
    <col min="9" max="9" width="14.109375" customWidth="1"/>
    <col min="10" max="11" width="12.6640625" customWidth="1"/>
  </cols>
  <sheetData>
    <row r="1" spans="1:13" s="57" customFormat="1" ht="17.399999999999999" x14ac:dyDescent="0.25">
      <c r="A1" s="155" t="s">
        <v>53</v>
      </c>
      <c r="B1" s="155"/>
      <c r="C1" s="155"/>
      <c r="D1" s="155"/>
      <c r="E1" s="155"/>
      <c r="F1" s="155"/>
      <c r="G1" s="155"/>
      <c r="H1" s="155"/>
      <c r="I1" s="155"/>
      <c r="J1" s="155"/>
    </row>
    <row r="2" spans="1:13" s="57" customFormat="1" ht="15.6" x14ac:dyDescent="0.3">
      <c r="B2" s="85"/>
      <c r="C2" s="70"/>
      <c r="D2" s="69"/>
      <c r="E2" s="157" t="s">
        <v>54</v>
      </c>
      <c r="F2" s="157"/>
      <c r="G2" s="157"/>
      <c r="H2" s="97"/>
      <c r="I2" s="96"/>
      <c r="J2" s="98"/>
      <c r="K2" s="82"/>
      <c r="L2" s="82"/>
      <c r="M2" s="82"/>
    </row>
    <row r="3" spans="1:13" s="57" customFormat="1" ht="15.6" x14ac:dyDescent="0.3">
      <c r="B3" s="60"/>
      <c r="C3" s="70"/>
      <c r="D3" s="69"/>
      <c r="E3" s="99" t="s">
        <v>55</v>
      </c>
      <c r="F3" s="100" t="s">
        <v>56</v>
      </c>
      <c r="G3" s="101" t="s">
        <v>57</v>
      </c>
      <c r="H3" s="101" t="s">
        <v>58</v>
      </c>
      <c r="I3" s="96"/>
      <c r="J3" s="98"/>
      <c r="K3" s="82"/>
      <c r="L3" s="82"/>
      <c r="M3" s="82"/>
    </row>
    <row r="4" spans="1:13" s="57" customFormat="1" ht="15.6" x14ac:dyDescent="0.3">
      <c r="B4" s="85" t="s">
        <v>59</v>
      </c>
      <c r="C4" s="70"/>
      <c r="D4" s="69"/>
      <c r="E4" s="102">
        <v>5147</v>
      </c>
      <c r="F4" s="102">
        <v>1118</v>
      </c>
      <c r="G4" s="102">
        <v>1170.4000000000001</v>
      </c>
      <c r="H4" s="82">
        <f>SUM(E4:G4)</f>
        <v>7435.4</v>
      </c>
      <c r="I4" s="96"/>
      <c r="J4" s="98"/>
      <c r="K4" s="82"/>
      <c r="L4" s="82"/>
      <c r="M4" s="82"/>
    </row>
    <row r="5" spans="1:13" s="57" customFormat="1" ht="15.6" x14ac:dyDescent="0.3">
      <c r="B5" s="85" t="s">
        <v>60</v>
      </c>
      <c r="C5" s="70"/>
      <c r="D5" s="69"/>
      <c r="E5" s="102">
        <v>2510</v>
      </c>
      <c r="F5" s="102">
        <v>500</v>
      </c>
      <c r="G5" s="102">
        <v>490</v>
      </c>
      <c r="H5" s="82">
        <f>SUM(E5:G5)</f>
        <v>3500</v>
      </c>
      <c r="I5" s="96"/>
      <c r="J5" s="98"/>
      <c r="K5" s="82"/>
      <c r="L5" s="82"/>
      <c r="M5" s="82"/>
    </row>
    <row r="6" spans="1:13" s="57" customFormat="1" ht="15.6" x14ac:dyDescent="0.3">
      <c r="B6" s="85" t="s">
        <v>61</v>
      </c>
      <c r="C6" s="70"/>
      <c r="D6" s="69"/>
      <c r="E6" s="102">
        <v>1993</v>
      </c>
      <c r="F6" s="102">
        <v>412</v>
      </c>
      <c r="G6" s="102">
        <v>435</v>
      </c>
      <c r="H6" s="82">
        <f>SUM(E6:G6)</f>
        <v>2840</v>
      </c>
      <c r="I6" s="96"/>
      <c r="J6" s="98"/>
      <c r="K6" s="82"/>
      <c r="L6" s="82"/>
      <c r="M6" s="82"/>
    </row>
    <row r="7" spans="1:13" s="57" customFormat="1" ht="15.6" x14ac:dyDescent="0.3">
      <c r="B7" s="85" t="s">
        <v>62</v>
      </c>
      <c r="C7" s="70"/>
      <c r="D7" s="69"/>
      <c r="E7" s="102">
        <v>1625</v>
      </c>
      <c r="F7" s="102">
        <v>370</v>
      </c>
      <c r="G7" s="102">
        <v>408</v>
      </c>
      <c r="H7" s="82">
        <f>SUM(E7:G7)</f>
        <v>2403</v>
      </c>
      <c r="I7" s="96"/>
      <c r="J7" s="98"/>
      <c r="K7" s="82"/>
      <c r="L7" s="82"/>
      <c r="M7" s="82"/>
    </row>
    <row r="8" spans="1:13" s="57" customFormat="1" ht="15.6" x14ac:dyDescent="0.3">
      <c r="A8" s="91"/>
      <c r="B8" s="85" t="s">
        <v>63</v>
      </c>
      <c r="C8" s="103"/>
      <c r="D8" s="70"/>
      <c r="E8" s="102">
        <v>9259</v>
      </c>
      <c r="F8" s="102">
        <v>2344</v>
      </c>
      <c r="G8" s="102">
        <v>2320</v>
      </c>
      <c r="H8" s="82">
        <f>SUM(E8:G8)</f>
        <v>13923</v>
      </c>
      <c r="I8" s="70"/>
      <c r="J8" s="70"/>
    </row>
    <row r="9" spans="1:13" s="57" customFormat="1" ht="13.5" customHeight="1" x14ac:dyDescent="0.3">
      <c r="A9" s="91"/>
      <c r="B9" s="85"/>
      <c r="C9" s="103"/>
      <c r="D9" s="70"/>
      <c r="E9" s="70"/>
      <c r="F9" s="70"/>
      <c r="G9" s="70"/>
      <c r="I9" s="70"/>
      <c r="J9" s="70"/>
    </row>
    <row r="10" spans="1:13" s="57" customFormat="1" ht="46.5" customHeight="1" x14ac:dyDescent="0.25">
      <c r="B10" s="85"/>
      <c r="C10" s="70"/>
      <c r="D10" s="69"/>
      <c r="E10" s="104" t="s">
        <v>101</v>
      </c>
      <c r="F10" s="105" t="s">
        <v>102</v>
      </c>
      <c r="G10" s="104" t="s">
        <v>38</v>
      </c>
      <c r="K10" s="106"/>
      <c r="L10" s="106"/>
      <c r="M10" s="106"/>
    </row>
    <row r="11" spans="1:13" s="57" customFormat="1" ht="15.75" customHeight="1" x14ac:dyDescent="0.3">
      <c r="A11" s="76"/>
      <c r="B11" s="85"/>
      <c r="C11" s="70"/>
      <c r="D11" s="69"/>
      <c r="E11" s="158" t="s">
        <v>64</v>
      </c>
      <c r="F11" s="158"/>
      <c r="G11" s="158"/>
      <c r="K11" s="106"/>
      <c r="L11" s="106"/>
      <c r="M11" s="106"/>
    </row>
    <row r="12" spans="1:13" s="57" customFormat="1" ht="17.55" customHeight="1" x14ac:dyDescent="0.3">
      <c r="B12" s="85" t="s">
        <v>59</v>
      </c>
      <c r="C12" s="70"/>
      <c r="D12" s="69"/>
      <c r="E12" s="107">
        <v>2</v>
      </c>
      <c r="F12" s="107">
        <v>2</v>
      </c>
      <c r="G12" s="107">
        <v>1</v>
      </c>
    </row>
    <row r="13" spans="1:13" s="57" customFormat="1" ht="15.6" x14ac:dyDescent="0.3">
      <c r="B13" s="85" t="s">
        <v>60</v>
      </c>
      <c r="C13" s="70"/>
      <c r="D13" s="69"/>
      <c r="E13" s="107">
        <v>0</v>
      </c>
      <c r="F13" s="107">
        <v>0</v>
      </c>
      <c r="G13" s="107">
        <v>0</v>
      </c>
    </row>
    <row r="14" spans="1:13" s="57" customFormat="1" ht="15" customHeight="1" x14ac:dyDescent="0.3">
      <c r="B14" s="85" t="s">
        <v>61</v>
      </c>
      <c r="C14" s="70"/>
      <c r="D14" s="69"/>
      <c r="E14" s="107">
        <v>0</v>
      </c>
      <c r="F14" s="107">
        <v>0</v>
      </c>
      <c r="G14" s="107">
        <v>0</v>
      </c>
    </row>
    <row r="15" spans="1:13" s="57" customFormat="1" ht="15.6" x14ac:dyDescent="0.3">
      <c r="B15" s="85" t="s">
        <v>62</v>
      </c>
      <c r="C15" s="70"/>
      <c r="D15" s="69"/>
      <c r="E15" s="107">
        <v>0</v>
      </c>
      <c r="F15" s="107">
        <v>2</v>
      </c>
      <c r="G15" s="107">
        <v>0</v>
      </c>
    </row>
    <row r="16" spans="1:13" s="57" customFormat="1" ht="15.6" x14ac:dyDescent="0.3">
      <c r="B16" s="85" t="s">
        <v>63</v>
      </c>
      <c r="C16" s="70"/>
      <c r="D16" s="69"/>
      <c r="E16" s="107">
        <v>0</v>
      </c>
      <c r="F16" s="107">
        <v>0</v>
      </c>
      <c r="G16" s="107">
        <v>0</v>
      </c>
    </row>
    <row r="17" spans="1:10" s="57" customFormat="1" ht="7.5" customHeight="1" x14ac:dyDescent="0.3">
      <c r="B17" s="85"/>
      <c r="C17" s="70"/>
      <c r="D17" s="69"/>
      <c r="E17" s="96"/>
      <c r="F17" s="108"/>
      <c r="G17" s="69"/>
      <c r="H17" s="97"/>
      <c r="I17" s="96"/>
      <c r="J17" s="98"/>
    </row>
    <row r="18" spans="1:10" s="57" customFormat="1" ht="15.6" x14ac:dyDescent="0.3">
      <c r="A18" s="91"/>
      <c r="B18" s="85"/>
      <c r="C18" s="103"/>
      <c r="D18" s="70"/>
      <c r="E18" s="159" t="s">
        <v>65</v>
      </c>
      <c r="F18" s="159"/>
      <c r="G18" s="159"/>
      <c r="I18" s="70"/>
      <c r="J18" s="70"/>
    </row>
    <row r="19" spans="1:10" s="57" customFormat="1" ht="15.6" x14ac:dyDescent="0.3">
      <c r="A19" s="91"/>
      <c r="B19" s="85" t="s">
        <v>59</v>
      </c>
      <c r="C19" s="103"/>
      <c r="D19" s="70"/>
      <c r="E19" s="82">
        <f>SUM(E4:G4)*E12</f>
        <v>14870.8</v>
      </c>
      <c r="F19" s="82">
        <f>SUM(E4:G4)*F12</f>
        <v>14870.8</v>
      </c>
      <c r="G19" s="82">
        <f>SUM(E4:G4)*G12</f>
        <v>7435.4</v>
      </c>
      <c r="I19" s="70"/>
      <c r="J19" s="70"/>
    </row>
    <row r="20" spans="1:10" s="57" customFormat="1" ht="15.6" x14ac:dyDescent="0.3">
      <c r="A20" s="91"/>
      <c r="B20" s="85" t="s">
        <v>60</v>
      </c>
      <c r="C20" s="103"/>
      <c r="D20" s="70"/>
      <c r="E20" s="82">
        <f>SUM(E5:G5)*E13</f>
        <v>0</v>
      </c>
      <c r="F20" s="82">
        <f>SUM(E5:G5)*F13</f>
        <v>0</v>
      </c>
      <c r="G20" s="82">
        <f>SUM(E5:G5)*G13</f>
        <v>0</v>
      </c>
      <c r="I20" s="70"/>
      <c r="J20" s="70"/>
    </row>
    <row r="21" spans="1:10" s="57" customFormat="1" ht="15.6" x14ac:dyDescent="0.3">
      <c r="A21" s="91"/>
      <c r="B21" s="85" t="s">
        <v>61</v>
      </c>
      <c r="C21" s="103"/>
      <c r="D21" s="70"/>
      <c r="E21" s="82">
        <f>SUM(E6:G6)*E14</f>
        <v>0</v>
      </c>
      <c r="F21" s="82">
        <f>SUM(E6:G6)*F14</f>
        <v>0</v>
      </c>
      <c r="G21" s="82">
        <f>SUM(E6:G6)*G14</f>
        <v>0</v>
      </c>
      <c r="I21" s="70"/>
      <c r="J21" s="70"/>
    </row>
    <row r="22" spans="1:10" s="57" customFormat="1" ht="15.6" x14ac:dyDescent="0.3">
      <c r="A22" s="91"/>
      <c r="B22" s="85" t="s">
        <v>62</v>
      </c>
      <c r="C22" s="103"/>
      <c r="D22" s="70"/>
      <c r="E22" s="82">
        <f>SUM(E7:G7)*E15</f>
        <v>0</v>
      </c>
      <c r="F22" s="82">
        <f>SUM(E7:G7)*F15</f>
        <v>4806</v>
      </c>
      <c r="G22" s="82">
        <f>SUM(E7:G7)*G15</f>
        <v>0</v>
      </c>
      <c r="I22" s="70"/>
      <c r="J22" s="70"/>
    </row>
    <row r="23" spans="1:10" s="57" customFormat="1" ht="15.6" x14ac:dyDescent="0.3">
      <c r="A23" s="91"/>
      <c r="B23" s="85" t="s">
        <v>63</v>
      </c>
      <c r="C23" s="103"/>
      <c r="D23" s="70"/>
      <c r="E23" s="109">
        <f>SUM(E8:G8)*E16</f>
        <v>0</v>
      </c>
      <c r="F23" s="109">
        <f>SUM(E8:G8)*F16</f>
        <v>0</v>
      </c>
      <c r="G23" s="109">
        <f>SUM(E8:G8)*G16</f>
        <v>0</v>
      </c>
      <c r="I23" s="70"/>
      <c r="J23" s="70"/>
    </row>
    <row r="24" spans="1:10" s="57" customFormat="1" ht="15.6" x14ac:dyDescent="0.3">
      <c r="A24" s="91"/>
      <c r="B24" s="85"/>
      <c r="C24" s="103"/>
      <c r="D24" s="70"/>
      <c r="E24" s="82">
        <f>SUM(E19:E23)</f>
        <v>14870.8</v>
      </c>
      <c r="F24" s="82">
        <f>SUM(F19:F23)</f>
        <v>19676.8</v>
      </c>
      <c r="G24" s="82">
        <f>SUM(G19:G23)</f>
        <v>7435.4</v>
      </c>
      <c r="I24" s="70"/>
      <c r="J24" s="70"/>
    </row>
    <row r="25" spans="1:10" s="57" customFormat="1" ht="7.5" customHeight="1" x14ac:dyDescent="0.3">
      <c r="A25" s="91"/>
      <c r="B25" s="85"/>
      <c r="C25" s="103"/>
      <c r="D25" s="70"/>
      <c r="E25" s="70"/>
      <c r="F25" s="70"/>
      <c r="G25" s="70"/>
      <c r="I25" s="70"/>
      <c r="J25" s="70"/>
    </row>
    <row r="26" spans="1:10" s="57" customFormat="1" ht="15.6" x14ac:dyDescent="0.3">
      <c r="A26" s="91"/>
      <c r="B26" s="95" t="s">
        <v>66</v>
      </c>
      <c r="C26" s="103"/>
      <c r="D26" s="70"/>
      <c r="E26" s="82">
        <f>ROUND((Pasture!J29/160)*E24,0)</f>
        <v>139414</v>
      </c>
      <c r="F26" s="82">
        <f>ROUND((Pasture!K29/160)*F24,0)</f>
        <v>62843</v>
      </c>
      <c r="G26" s="82">
        <f>ROUND((Pasture!H29/160)*G24,0)</f>
        <v>185885</v>
      </c>
      <c r="I26" s="70"/>
      <c r="J26" s="70"/>
    </row>
    <row r="27" spans="1:10" s="57" customFormat="1" ht="15.6" x14ac:dyDescent="0.3">
      <c r="B27" s="95" t="s">
        <v>67</v>
      </c>
      <c r="E27" s="110">
        <f>ROUND(E26/Pasture!J29,0)</f>
        <v>93</v>
      </c>
      <c r="F27" s="110">
        <f>ROUND(F26/Pasture!K29,0)</f>
        <v>123</v>
      </c>
      <c r="G27" s="110">
        <f>ROUND(G26/Pasture!H29,0)</f>
        <v>46</v>
      </c>
      <c r="I27" s="70"/>
      <c r="J27" s="70"/>
    </row>
    <row r="28" spans="1:10" s="57" customFormat="1" ht="15.6" x14ac:dyDescent="0.3">
      <c r="B28" s="85" t="s">
        <v>68</v>
      </c>
      <c r="E28" s="111">
        <v>0.1</v>
      </c>
      <c r="F28" s="111">
        <v>0.1</v>
      </c>
      <c r="G28" s="111">
        <v>0.1</v>
      </c>
      <c r="I28" s="70"/>
      <c r="J28" s="70"/>
    </row>
    <row r="29" spans="1:10" s="57" customFormat="1" ht="15.6" x14ac:dyDescent="0.3">
      <c r="B29" s="85" t="s">
        <v>69</v>
      </c>
      <c r="D29" s="93">
        <v>20</v>
      </c>
      <c r="E29" s="70"/>
      <c r="F29" s="70"/>
      <c r="G29" s="70"/>
      <c r="I29" s="70"/>
      <c r="J29" s="70"/>
    </row>
    <row r="30" spans="1:10" s="57" customFormat="1" ht="15.6" x14ac:dyDescent="0.3">
      <c r="B30" s="85" t="s">
        <v>70</v>
      </c>
      <c r="D30" s="111">
        <v>0.75</v>
      </c>
      <c r="E30" s="70"/>
      <c r="F30" s="70"/>
      <c r="G30" s="70"/>
      <c r="I30" s="70"/>
      <c r="J30" s="70"/>
    </row>
    <row r="31" spans="1:10" s="57" customFormat="1" ht="15.6" x14ac:dyDescent="0.3">
      <c r="B31" s="85" t="s">
        <v>71</v>
      </c>
      <c r="D31" s="88">
        <f>SUM(1-D30)</f>
        <v>0.25</v>
      </c>
      <c r="E31" s="70"/>
      <c r="F31" s="70"/>
      <c r="G31" s="70"/>
      <c r="I31" s="70"/>
      <c r="J31" s="70"/>
    </row>
    <row r="32" spans="1:10" s="57" customFormat="1" ht="15.6" x14ac:dyDescent="0.3">
      <c r="B32" s="91" t="s">
        <v>72</v>
      </c>
      <c r="C32" s="85"/>
      <c r="D32" s="70"/>
      <c r="E32" s="70"/>
      <c r="F32" s="70"/>
      <c r="G32" s="70"/>
      <c r="I32" s="70"/>
      <c r="J32" s="70"/>
    </row>
    <row r="33" spans="1:11" s="57" customFormat="1" ht="15.6" x14ac:dyDescent="0.3">
      <c r="B33" s="85" t="s">
        <v>50</v>
      </c>
      <c r="C33" s="112">
        <v>0.08</v>
      </c>
      <c r="D33" s="93">
        <v>7</v>
      </c>
      <c r="E33" s="63" t="s">
        <v>51</v>
      </c>
      <c r="F33" s="70"/>
      <c r="G33" s="70"/>
      <c r="I33" s="70"/>
      <c r="J33" s="70"/>
    </row>
    <row r="34" spans="1:11" s="57" customFormat="1" ht="15.6" x14ac:dyDescent="0.3">
      <c r="B34" s="85" t="s">
        <v>52</v>
      </c>
      <c r="D34" s="70"/>
      <c r="E34" s="96">
        <f>-PMT($C$33,$D$33,E27*$D$31,0)</f>
        <v>4.4656833332105457</v>
      </c>
      <c r="F34" s="96">
        <f>-PMT($C$33,$D$33,F27*$D$31,0)</f>
        <v>5.9062263439236258</v>
      </c>
      <c r="G34" s="96">
        <f>-PMT($C$33,$D$33,G27*$D$31,0)</f>
        <v>2.2088326164267218</v>
      </c>
      <c r="I34" s="70"/>
      <c r="J34" s="70"/>
    </row>
    <row r="35" spans="1:11" s="57" customFormat="1" ht="15.6" x14ac:dyDescent="0.3">
      <c r="B35" s="85" t="s">
        <v>73</v>
      </c>
      <c r="D35" s="70"/>
      <c r="E35" s="96">
        <f>(E27-(E27*$E$28))/$D$29</f>
        <v>4.1850000000000005</v>
      </c>
      <c r="F35" s="96">
        <f>(F27-(F27*$F$28))/$D$29</f>
        <v>5.5350000000000001</v>
      </c>
      <c r="G35" s="96">
        <f>(G27-(G27*$G$28))/$D$29</f>
        <v>2.0699999999999998</v>
      </c>
      <c r="I35" s="70"/>
      <c r="J35" s="70"/>
    </row>
    <row r="36" spans="1:11" s="57" customFormat="1" ht="15.6" x14ac:dyDescent="0.3">
      <c r="B36" s="85" t="s">
        <v>74</v>
      </c>
      <c r="D36" s="70"/>
      <c r="E36" s="113">
        <f>SUM(E27*D30)*(Pasture!D52)</f>
        <v>0</v>
      </c>
      <c r="F36" s="113">
        <f>SUM(F27*D30)*(Pasture!D52)</f>
        <v>0</v>
      </c>
      <c r="G36" s="113">
        <f>SUM(G27*D30)*(Pasture!D52)</f>
        <v>0</v>
      </c>
      <c r="I36" s="70"/>
      <c r="J36" s="70"/>
    </row>
    <row r="37" spans="1:11" s="57" customFormat="1" ht="15.6" x14ac:dyDescent="0.3">
      <c r="B37" s="95" t="s">
        <v>75</v>
      </c>
      <c r="D37" s="70"/>
      <c r="E37" s="110">
        <f>SUM(E34:E36)</f>
        <v>8.6506833332105462</v>
      </c>
      <c r="F37" s="110">
        <f>SUM(F34:F36)</f>
        <v>11.441226343923626</v>
      </c>
      <c r="G37" s="110">
        <f>SUM(G34:G36)</f>
        <v>4.2788326164267216</v>
      </c>
      <c r="I37" s="70"/>
      <c r="J37" s="70"/>
    </row>
    <row r="38" spans="1:11" s="57" customFormat="1" ht="7.5" customHeight="1" x14ac:dyDescent="0.25">
      <c r="A38" s="70"/>
      <c r="B38" s="70"/>
      <c r="C38" s="70"/>
      <c r="D38" s="70"/>
      <c r="E38" s="70"/>
      <c r="F38" s="70"/>
      <c r="G38" s="70"/>
      <c r="I38" s="70"/>
      <c r="J38" s="70"/>
    </row>
    <row r="39" spans="1:11" s="57" customFormat="1" ht="15.6" x14ac:dyDescent="0.3">
      <c r="A39" s="76" t="s">
        <v>76</v>
      </c>
      <c r="B39" s="69"/>
      <c r="C39" s="69"/>
      <c r="D39" s="70"/>
      <c r="E39" s="114">
        <v>0.02</v>
      </c>
      <c r="F39" s="69"/>
    </row>
    <row r="41" spans="1:11" s="57" customFormat="1" ht="17.399999999999999" x14ac:dyDescent="0.25">
      <c r="A41" s="155" t="s">
        <v>88</v>
      </c>
      <c r="B41" s="155"/>
      <c r="C41" s="155"/>
      <c r="D41" s="155"/>
      <c r="E41" s="155"/>
      <c r="F41" s="155"/>
      <c r="G41" s="155"/>
      <c r="H41" s="155"/>
      <c r="I41" s="155"/>
      <c r="J41" s="155"/>
      <c r="K41" s="155"/>
    </row>
    <row r="42" spans="1:11" s="57" customFormat="1" ht="7.5" customHeight="1" x14ac:dyDescent="0.25"/>
    <row r="43" spans="1:11" s="57" customFormat="1" ht="66" customHeight="1" x14ac:dyDescent="0.3">
      <c r="A43" s="68" t="s">
        <v>89</v>
      </c>
      <c r="B43" s="70"/>
      <c r="C43" s="70"/>
      <c r="D43" s="70"/>
      <c r="E43" s="133" t="s">
        <v>104</v>
      </c>
      <c r="F43" s="133" t="s">
        <v>103</v>
      </c>
      <c r="G43" s="133" t="s">
        <v>105</v>
      </c>
      <c r="H43" s="134" t="s">
        <v>38</v>
      </c>
      <c r="I43" s="134" t="s">
        <v>39</v>
      </c>
      <c r="J43" s="134" t="s">
        <v>101</v>
      </c>
      <c r="K43" s="133" t="s">
        <v>102</v>
      </c>
    </row>
    <row r="44" spans="1:11" s="57" customFormat="1" ht="15.6" x14ac:dyDescent="0.3">
      <c r="B44" s="69" t="s">
        <v>90</v>
      </c>
      <c r="C44" s="70"/>
      <c r="D44" s="70"/>
      <c r="E44" s="121">
        <f>ROUND(Pasture!$D$16/Pasture!E29,2)</f>
        <v>0.19</v>
      </c>
      <c r="F44" s="121">
        <f>ROUND(Pasture!$D$16/Pasture!F29,2)</f>
        <v>0.2</v>
      </c>
      <c r="G44" s="121">
        <f>ROUND(Pasture!$D$16/Pasture!G29,2)</f>
        <v>0.26</v>
      </c>
      <c r="H44" s="121">
        <f>ROUND(Pasture!$D$16/Pasture!H29,2)</f>
        <v>0.08</v>
      </c>
      <c r="I44" s="74" t="s">
        <v>41</v>
      </c>
      <c r="J44" s="121">
        <f>ROUND(Pasture!$D$16/Pasture!J29,2)</f>
        <v>0.2</v>
      </c>
      <c r="K44" s="121">
        <f>ROUND(Pasture!$D$16/Pasture!K29,2)</f>
        <v>0.59</v>
      </c>
    </row>
    <row r="45" spans="1:11" s="57" customFormat="1" ht="15.6" x14ac:dyDescent="0.3">
      <c r="B45" s="69" t="s">
        <v>91</v>
      </c>
      <c r="C45" s="70"/>
      <c r="D45" s="70"/>
      <c r="E45" s="122">
        <f>ROUND((Pasture!$D$17^0.75/1000^0.75),2)</f>
        <v>1.25</v>
      </c>
      <c r="F45" s="122">
        <f>ROUND((Pasture!$D$17^0.75/1000^0.75),2)</f>
        <v>1.25</v>
      </c>
      <c r="G45" s="122">
        <f>ROUND((Pasture!$D$17^0.75/1000^0.75),2)</f>
        <v>1.25</v>
      </c>
      <c r="H45" s="122">
        <f>ROUND((Pasture!$D$17^0.75/1000^0.75),2)</f>
        <v>1.25</v>
      </c>
      <c r="I45" s="122">
        <f>ROUND((Pasture!$D$17^0.75/1000^0.75),2)</f>
        <v>1.25</v>
      </c>
      <c r="J45" s="122">
        <f>ROUND((Pasture!$D$17^0.75/1000^0.75),2)</f>
        <v>1.25</v>
      </c>
      <c r="K45" s="122">
        <f>ROUND((Pasture!$D$17^0.75/1000^0.75),2)</f>
        <v>1.25</v>
      </c>
    </row>
    <row r="46" spans="1:11" s="57" customFormat="1" ht="7.5" customHeight="1" x14ac:dyDescent="0.3">
      <c r="A46" s="69"/>
      <c r="B46" s="70"/>
      <c r="C46" s="70"/>
      <c r="D46" s="70"/>
      <c r="E46" s="122"/>
      <c r="F46" s="122"/>
      <c r="G46" s="122"/>
      <c r="H46" s="122"/>
      <c r="I46" s="122"/>
      <c r="J46" s="122"/>
      <c r="K46" s="122"/>
    </row>
    <row r="47" spans="1:11" s="57" customFormat="1" ht="15.6" x14ac:dyDescent="0.3">
      <c r="A47" s="68" t="s">
        <v>92</v>
      </c>
      <c r="B47" s="70"/>
      <c r="C47" s="123"/>
      <c r="D47" s="69"/>
      <c r="E47" s="76"/>
      <c r="F47" s="76"/>
      <c r="G47" s="76"/>
      <c r="H47" s="76"/>
      <c r="I47" s="76"/>
      <c r="J47" s="76"/>
      <c r="K47" s="76"/>
    </row>
    <row r="48" spans="1:11" s="57" customFormat="1" ht="15.6" x14ac:dyDescent="0.3">
      <c r="B48" s="69" t="s">
        <v>93</v>
      </c>
      <c r="C48" s="70"/>
      <c r="D48" s="70"/>
      <c r="E48" s="124">
        <f>ROUND(Pasture!$D$16*(E45)*Pasture!$F$19,0)</f>
        <v>1688</v>
      </c>
      <c r="F48" s="124">
        <f>ROUND(Pasture!$D$16*(F45)*Pasture!$F$19,0)</f>
        <v>1688</v>
      </c>
      <c r="G48" s="124">
        <f>ROUND(Pasture!$D$16*(G45)*Pasture!$F$19,0)</f>
        <v>1688</v>
      </c>
      <c r="H48" s="124">
        <f>ROUND(Pasture!$D$16*(H45)*Pasture!$F$19,0)</f>
        <v>1688</v>
      </c>
      <c r="I48" s="124">
        <f>ROUND(Pasture!$D$16*(I45)*Pasture!$F$19,0)</f>
        <v>1688</v>
      </c>
      <c r="J48" s="124">
        <f>ROUND(Pasture!$D$16*(J45)*Pasture!$F$19,0)</f>
        <v>1688</v>
      </c>
      <c r="K48" s="124">
        <f>ROUND(Pasture!$D$16*(K45)*Pasture!$F$19,0)</f>
        <v>1688</v>
      </c>
    </row>
    <row r="49" spans="1:11" s="57" customFormat="1" ht="15.6" x14ac:dyDescent="0.3">
      <c r="B49" s="69" t="s">
        <v>94</v>
      </c>
      <c r="C49" s="70"/>
      <c r="D49" s="70"/>
      <c r="E49" s="122">
        <f>ROUND(E48/Pasture!E29,2)</f>
        <v>1.06</v>
      </c>
      <c r="F49" s="122">
        <f>ROUND(F48/Pasture!F29,2)</f>
        <v>1.1299999999999999</v>
      </c>
      <c r="G49" s="122">
        <f>ROUND(G48/Pasture!G29,2)</f>
        <v>1.48</v>
      </c>
      <c r="H49" s="122">
        <f>ROUND(H48/Pasture!H29,2)</f>
        <v>0.42</v>
      </c>
      <c r="I49" s="74" t="s">
        <v>41</v>
      </c>
      <c r="J49" s="122">
        <f>ROUND(J48/Pasture!J29,2)</f>
        <v>1.1299999999999999</v>
      </c>
      <c r="K49" s="122">
        <f>ROUND(K48/Pasture!K29,2)</f>
        <v>3.3</v>
      </c>
    </row>
    <row r="50" spans="1:11" s="57" customFormat="1" ht="15.6" x14ac:dyDescent="0.3">
      <c r="B50" s="69" t="s">
        <v>95</v>
      </c>
      <c r="C50" s="69"/>
      <c r="D50" s="69"/>
      <c r="E50" s="74" t="s">
        <v>41</v>
      </c>
      <c r="F50" s="74" t="s">
        <v>41</v>
      </c>
      <c r="G50" s="74" t="s">
        <v>41</v>
      </c>
      <c r="H50" s="74" t="s">
        <v>41</v>
      </c>
      <c r="I50" s="74" t="s">
        <v>41</v>
      </c>
      <c r="J50" s="82">
        <f>(Pasture!J49*Pasture!J29)/J48</f>
        <v>722.45260663507111</v>
      </c>
      <c r="K50" s="82">
        <f>(Pasture!K49*Pasture!K29)/K48</f>
        <v>548.84063981042652</v>
      </c>
    </row>
    <row r="51" spans="1:11" s="57" customFormat="1" ht="15.6" x14ac:dyDescent="0.3">
      <c r="B51" s="69" t="s">
        <v>96</v>
      </c>
      <c r="C51" s="70"/>
      <c r="D51" s="70"/>
      <c r="E51" s="118">
        <f>ROUND(((Pasture!E57+Pasture!E46)*Pasture!E29)/E48,2)</f>
        <v>25.24</v>
      </c>
      <c r="F51" s="118">
        <f>ROUND(((Pasture!F57+Pasture!F46)*Pasture!F29)/F48,2)</f>
        <v>31.55</v>
      </c>
      <c r="G51" s="118">
        <f>ROUND(((Pasture!G57+Pasture!G46)*Pasture!G29)/G48,2)</f>
        <v>34.700000000000003</v>
      </c>
      <c r="H51" s="118">
        <f>ROUND(((Pasture!H57+Pasture!H46)*Pasture!H29)/H48,2)</f>
        <v>18.93</v>
      </c>
      <c r="I51" s="118">
        <f>ROUND((Pasture!I11*Pasture!D16)/I48,2)</f>
        <v>30.88</v>
      </c>
      <c r="J51" s="118">
        <f>ROUND(((Pasture!J57+Pasture!J46)*Pasture!J29)/J48,2)</f>
        <v>31.59</v>
      </c>
      <c r="K51" s="118">
        <f>ROUND(((Pasture!K57+Pasture!K46)*Pasture!K29)/K48,2)</f>
        <v>31.92</v>
      </c>
    </row>
    <row r="52" spans="1:11" s="57" customFormat="1" ht="7.5" customHeight="1" x14ac:dyDescent="0.3">
      <c r="A52" s="69"/>
      <c r="B52" s="70"/>
      <c r="C52" s="70"/>
      <c r="D52" s="70"/>
      <c r="E52" s="118"/>
      <c r="F52" s="118"/>
      <c r="G52" s="118"/>
      <c r="H52" s="118"/>
      <c r="I52" s="118"/>
      <c r="J52" s="118"/>
      <c r="K52" s="118"/>
    </row>
    <row r="53" spans="1:11" s="57" customFormat="1" ht="15.6" x14ac:dyDescent="0.3">
      <c r="A53" s="68" t="s">
        <v>97</v>
      </c>
      <c r="B53" s="69"/>
      <c r="C53" s="69"/>
      <c r="D53" s="69"/>
      <c r="E53" s="125"/>
      <c r="F53" s="125"/>
      <c r="G53" s="125"/>
      <c r="H53" s="125"/>
      <c r="I53" s="125"/>
      <c r="J53" s="125"/>
      <c r="K53" s="125"/>
    </row>
    <row r="54" spans="1:11" s="57" customFormat="1" ht="15.6" x14ac:dyDescent="0.3">
      <c r="B54" s="69" t="s">
        <v>98</v>
      </c>
      <c r="C54" s="70"/>
      <c r="D54" s="70"/>
      <c r="E54" s="124">
        <f>Pasture!$D$17*E44</f>
        <v>256.5</v>
      </c>
      <c r="F54" s="124">
        <f>Pasture!$D$17*F44</f>
        <v>270</v>
      </c>
      <c r="G54" s="124">
        <f>Pasture!$D$17*G44</f>
        <v>351</v>
      </c>
      <c r="H54" s="124">
        <f>Pasture!$D$17*H44</f>
        <v>108</v>
      </c>
      <c r="I54" s="74" t="s">
        <v>41</v>
      </c>
      <c r="J54" s="124">
        <f>Pasture!$D$17*J44</f>
        <v>270</v>
      </c>
      <c r="K54" s="124">
        <f>Pasture!$D$17*K44</f>
        <v>796.5</v>
      </c>
    </row>
    <row r="55" spans="1:11" s="57" customFormat="1" ht="7.5" customHeight="1" x14ac:dyDescent="0.3">
      <c r="A55" s="63"/>
      <c r="E55" s="118"/>
      <c r="F55" s="118"/>
      <c r="G55" s="118"/>
      <c r="H55" s="118"/>
      <c r="I55" s="118"/>
      <c r="J55" s="118"/>
      <c r="K55" s="118"/>
    </row>
    <row r="56" spans="1:11" s="57" customFormat="1" ht="15.6" x14ac:dyDescent="0.3">
      <c r="A56" s="63" t="s">
        <v>99</v>
      </c>
      <c r="E56" s="74" t="s">
        <v>41</v>
      </c>
      <c r="F56" s="74" t="s">
        <v>41</v>
      </c>
      <c r="G56" s="74" t="s">
        <v>41</v>
      </c>
      <c r="H56" s="74" t="s">
        <v>41</v>
      </c>
      <c r="I56" s="74" t="s">
        <v>41</v>
      </c>
      <c r="J56" s="82">
        <f>SUM((Pasture!J49*Pasture!J29)/Pasture!D16)</f>
        <v>4065</v>
      </c>
      <c r="K56" s="82">
        <f>SUM((Pasture!K49*Pasture!K29)/Pasture!D16)</f>
        <v>3088.1433333333334</v>
      </c>
    </row>
    <row r="57" spans="1:11" s="57" customFormat="1" ht="7.5" customHeight="1" x14ac:dyDescent="0.25"/>
  </sheetData>
  <sheetProtection password="C6A6" sheet="1"/>
  <mergeCells count="5">
    <mergeCell ref="A1:J1"/>
    <mergeCell ref="E2:G2"/>
    <mergeCell ref="E11:G11"/>
    <mergeCell ref="E18:G18"/>
    <mergeCell ref="A41:K41"/>
  </mergeCells>
  <pageMargins left="0.7" right="0.7" top="0.75" bottom="0.75" header="0.3" footer="0.3"/>
  <pageSetup scale="6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9"/>
  <sheetViews>
    <sheetView zoomScaleNormal="100" workbookViewId="0">
      <selection activeCell="G12" sqref="G12:G13"/>
    </sheetView>
  </sheetViews>
  <sheetFormatPr defaultRowHeight="14.4" x14ac:dyDescent="0.3"/>
  <cols>
    <col min="1" max="1" width="4.44140625" customWidth="1"/>
    <col min="2" max="2" width="32.6640625" customWidth="1"/>
    <col min="3" max="3" width="11.6640625" customWidth="1"/>
    <col min="4" max="4" width="2.21875" customWidth="1"/>
    <col min="5" max="5" width="11.6640625" customWidth="1"/>
    <col min="6" max="6" width="9.6640625" customWidth="1"/>
  </cols>
  <sheetData>
    <row r="1" spans="1:10" ht="27" customHeight="1" x14ac:dyDescent="0.3">
      <c r="A1" s="1"/>
      <c r="B1" s="1"/>
      <c r="C1" s="2"/>
      <c r="D1" s="2"/>
      <c r="E1" s="2"/>
      <c r="F1" s="2"/>
    </row>
    <row r="2" spans="1:10" ht="27.6" x14ac:dyDescent="0.45">
      <c r="A2" s="3" t="s">
        <v>18</v>
      </c>
      <c r="B2" s="1"/>
      <c r="C2" s="2"/>
      <c r="D2" s="2"/>
      <c r="E2" s="2"/>
      <c r="F2" s="2"/>
    </row>
    <row r="3" spans="1:10" ht="17.399999999999999" x14ac:dyDescent="0.3">
      <c r="A3" s="4" t="s">
        <v>23</v>
      </c>
      <c r="B3" s="1"/>
      <c r="C3" s="2"/>
      <c r="D3" s="2"/>
      <c r="G3" s="5" t="s">
        <v>17</v>
      </c>
      <c r="H3" s="6">
        <f ca="1">TODAY()</f>
        <v>45418</v>
      </c>
    </row>
    <row r="4" spans="1:10" s="1" customFormat="1" ht="13.8" x14ac:dyDescent="0.25">
      <c r="A4" s="16"/>
      <c r="C4" s="14" t="s">
        <v>22</v>
      </c>
    </row>
    <row r="5" spans="1:10" s="1" customFormat="1" x14ac:dyDescent="0.3">
      <c r="A5" s="16" t="s">
        <v>16</v>
      </c>
      <c r="J5" s="46"/>
    </row>
    <row r="6" spans="1:10" s="1" customFormat="1" x14ac:dyDescent="0.3">
      <c r="B6" s="1" t="s">
        <v>0</v>
      </c>
      <c r="C6" s="17">
        <v>160</v>
      </c>
      <c r="D6" s="18"/>
      <c r="J6"/>
    </row>
    <row r="7" spans="1:10" s="1" customFormat="1" x14ac:dyDescent="0.3">
      <c r="B7" s="1" t="s">
        <v>27</v>
      </c>
      <c r="C7" s="17">
        <v>132</v>
      </c>
      <c r="D7" s="18"/>
      <c r="E7" s="1" t="str">
        <f>"("&amp;C7/30&amp;" Months)"</f>
        <v>(4.4 Months)</v>
      </c>
      <c r="J7"/>
    </row>
    <row r="8" spans="1:10" s="1" customFormat="1" ht="13.8" x14ac:dyDescent="0.25">
      <c r="B8" s="1" t="s">
        <v>4</v>
      </c>
      <c r="C8" s="17">
        <v>32</v>
      </c>
      <c r="D8" s="18"/>
      <c r="E8" s="1" t="str">
        <f>"("&amp;ROUND(C8*(C9^0.75/1000^0.75),0)*C7&amp;" Animal Unit Month's or AUM's)"</f>
        <v>(5280 Animal Unit Month's or AUM's)</v>
      </c>
    </row>
    <row r="9" spans="1:10" s="1" customFormat="1" ht="13.8" x14ac:dyDescent="0.25">
      <c r="B9" s="1" t="s">
        <v>6</v>
      </c>
      <c r="C9" s="19">
        <v>1350</v>
      </c>
      <c r="D9" s="18"/>
      <c r="E9" s="1" t="str">
        <f>"("&amp;TEXT(C9^0.75/1000^0.75,"#.##")&amp;" Animal Unit or AU value)"</f>
        <v>(1.25 Animal Unit or AU value)</v>
      </c>
    </row>
    <row r="10" spans="1:10" s="1" customFormat="1" ht="7.5" customHeight="1" x14ac:dyDescent="0.25">
      <c r="C10" s="19"/>
      <c r="D10" s="18"/>
    </row>
    <row r="11" spans="1:10" s="1" customFormat="1" ht="13.8" x14ac:dyDescent="0.25">
      <c r="A11" s="16" t="s">
        <v>3</v>
      </c>
    </row>
    <row r="12" spans="1:10" s="1" customFormat="1" ht="13.8" x14ac:dyDescent="0.25">
      <c r="C12" s="20" t="s">
        <v>1</v>
      </c>
      <c r="D12" s="20"/>
      <c r="E12" s="20" t="s">
        <v>2</v>
      </c>
    </row>
    <row r="13" spans="1:10" s="1" customFormat="1" ht="13.8" x14ac:dyDescent="0.25">
      <c r="B13" s="1" t="s">
        <v>10</v>
      </c>
      <c r="C13" s="21">
        <v>600</v>
      </c>
      <c r="D13" s="22"/>
      <c r="E13" s="21">
        <v>750</v>
      </c>
    </row>
    <row r="14" spans="1:10" s="1" customFormat="1" ht="13.8" x14ac:dyDescent="0.25">
      <c r="B14" s="1" t="s">
        <v>11</v>
      </c>
      <c r="C14" s="21">
        <v>3.5</v>
      </c>
      <c r="D14" s="22"/>
      <c r="E14" s="21">
        <v>4.5</v>
      </c>
    </row>
    <row r="15" spans="1:10" s="1" customFormat="1" ht="15" x14ac:dyDescent="0.25">
      <c r="B15" s="1" t="s">
        <v>12</v>
      </c>
      <c r="C15" s="23">
        <v>2.75E-2</v>
      </c>
      <c r="D15" s="24"/>
      <c r="E15" s="23">
        <v>0.03</v>
      </c>
      <c r="G15" s="56"/>
    </row>
    <row r="16" spans="1:10" s="1" customFormat="1" ht="7.5" customHeight="1" x14ac:dyDescent="0.25">
      <c r="C16" s="24"/>
      <c r="D16" s="24"/>
      <c r="E16" s="24"/>
    </row>
    <row r="17" spans="1:5" s="1" customFormat="1" ht="13.8" x14ac:dyDescent="0.25">
      <c r="B17" s="1" t="s">
        <v>7</v>
      </c>
      <c r="C17" s="25">
        <f>SUM(C18/($C$8*($C$9^0.75/1000^0.75)*($C$7/30)))</f>
        <v>18.146672321367877</v>
      </c>
      <c r="D17" s="25"/>
      <c r="E17" s="25">
        <f>SUM(E18/($C$8*($C$9^0.75/1000^0.75)*($C$7/30)))</f>
        <v>24.498007633846633</v>
      </c>
    </row>
    <row r="18" spans="1:5" s="1" customFormat="1" ht="13.8" x14ac:dyDescent="0.25">
      <c r="B18" s="1" t="s">
        <v>9</v>
      </c>
      <c r="C18" s="52">
        <f>SUM(((C13*C15)+C14)*$C$6)</f>
        <v>3200</v>
      </c>
      <c r="D18" s="25"/>
      <c r="E18" s="49">
        <f>SUM(((E13*E15)+E14)*$C$6)</f>
        <v>4320</v>
      </c>
    </row>
    <row r="19" spans="1:5" s="1" customFormat="1" ht="13.8" x14ac:dyDescent="0.25">
      <c r="B19" s="1" t="s">
        <v>13</v>
      </c>
      <c r="C19" s="53">
        <f>SUM(C18/C6)</f>
        <v>20</v>
      </c>
      <c r="D19" s="26"/>
      <c r="E19" s="50">
        <f>SUM(E18/C6)</f>
        <v>27</v>
      </c>
    </row>
    <row r="20" spans="1:5" s="1" customFormat="1" ht="13.8" x14ac:dyDescent="0.25">
      <c r="B20" s="1" t="s">
        <v>14</v>
      </c>
      <c r="C20" s="54">
        <f>SUM(C18/$C$8)</f>
        <v>100</v>
      </c>
      <c r="D20" s="25"/>
      <c r="E20" s="25">
        <f>SUM(E18/$C$8)</f>
        <v>135</v>
      </c>
    </row>
    <row r="21" spans="1:5" s="1" customFormat="1" ht="13.8" x14ac:dyDescent="0.25">
      <c r="B21" s="1" t="s">
        <v>15</v>
      </c>
      <c r="C21" s="55">
        <f>SUM(C20/($C$7))</f>
        <v>0.75757575757575757</v>
      </c>
      <c r="D21" s="27"/>
      <c r="E21" s="27">
        <f>SUM(E20/($C$7))</f>
        <v>1.0227272727272727</v>
      </c>
    </row>
    <row r="22" spans="1:5" s="1" customFormat="1" ht="13.8" x14ac:dyDescent="0.25">
      <c r="C22" s="25"/>
      <c r="D22" s="25"/>
      <c r="E22" s="25"/>
    </row>
    <row r="23" spans="1:5" s="1" customFormat="1" ht="13.8" x14ac:dyDescent="0.25">
      <c r="A23" s="16" t="s">
        <v>25</v>
      </c>
    </row>
    <row r="24" spans="1:5" s="1" customFormat="1" ht="7.5" customHeight="1" x14ac:dyDescent="0.25">
      <c r="A24" s="16"/>
      <c r="C24" s="30"/>
      <c r="D24" s="31"/>
      <c r="E24" s="32"/>
    </row>
    <row r="25" spans="1:5" s="1" customFormat="1" ht="14.25" customHeight="1" x14ac:dyDescent="0.25">
      <c r="B25" s="1" t="s">
        <v>6</v>
      </c>
      <c r="C25" s="28">
        <f>C9</f>
        <v>1350</v>
      </c>
      <c r="E25" s="19"/>
    </row>
    <row r="26" spans="1:5" s="1" customFormat="1" ht="13.8" x14ac:dyDescent="0.25">
      <c r="B26" s="1" t="s">
        <v>24</v>
      </c>
      <c r="C26" s="47">
        <f>SUM(C9^0.75/1000^0.75)</f>
        <v>1.252420957671184</v>
      </c>
    </row>
    <row r="27" spans="1:5" s="1" customFormat="1" ht="13.8" x14ac:dyDescent="0.25">
      <c r="B27" s="1" t="s">
        <v>4</v>
      </c>
      <c r="C27" s="1">
        <f>C8</f>
        <v>32</v>
      </c>
      <c r="E27" s="29"/>
    </row>
    <row r="28" spans="1:5" s="1" customFormat="1" ht="13.8" x14ac:dyDescent="0.25">
      <c r="B28" s="1" t="s">
        <v>5</v>
      </c>
      <c r="C28" s="1">
        <f>C7/30</f>
        <v>4.4000000000000004</v>
      </c>
    </row>
    <row r="29" spans="1:5" s="1" customFormat="1" ht="13.8" x14ac:dyDescent="0.25">
      <c r="B29" s="1" t="s">
        <v>8</v>
      </c>
      <c r="C29" s="48">
        <f>C8*(C9^0.75/1000^0.75)*(C7/30)</f>
        <v>176.34087084010272</v>
      </c>
    </row>
    <row r="30" spans="1:5" s="1" customFormat="1" ht="7.5" customHeight="1" x14ac:dyDescent="0.25"/>
    <row r="31" spans="1:5" s="1" customFormat="1" ht="13.8" x14ac:dyDescent="0.25">
      <c r="C31" s="20" t="s">
        <v>1</v>
      </c>
      <c r="D31" s="20"/>
      <c r="E31" s="20" t="s">
        <v>2</v>
      </c>
    </row>
    <row r="32" spans="1:5" s="1" customFormat="1" ht="13.8" x14ac:dyDescent="0.25">
      <c r="B32" s="1" t="s">
        <v>7</v>
      </c>
      <c r="C32" s="21">
        <v>20</v>
      </c>
      <c r="E32" s="21">
        <v>30</v>
      </c>
    </row>
    <row r="33" spans="1:5" s="1" customFormat="1" ht="13.8" x14ac:dyDescent="0.25">
      <c r="B33" s="1" t="s">
        <v>9</v>
      </c>
      <c r="C33" s="25">
        <f>SUM(C32*$C$29)</f>
        <v>3526.8174168020546</v>
      </c>
      <c r="D33" s="25"/>
      <c r="E33" s="25">
        <f>SUM(E32*$C$29)</f>
        <v>5290.2261252030821</v>
      </c>
    </row>
    <row r="34" spans="1:5" s="1" customFormat="1" ht="13.8" x14ac:dyDescent="0.25">
      <c r="B34" s="1" t="s">
        <v>13</v>
      </c>
      <c r="C34" s="50">
        <f>SUM(C33/$C$6)</f>
        <v>22.042608855012841</v>
      </c>
      <c r="D34" s="26"/>
      <c r="E34" s="50">
        <f>SUM(E33/$C$6)</f>
        <v>33.063913282519266</v>
      </c>
    </row>
    <row r="35" spans="1:5" s="1" customFormat="1" ht="13.8" x14ac:dyDescent="0.25">
      <c r="B35" s="1" t="s">
        <v>14</v>
      </c>
      <c r="C35" s="25">
        <f>SUM(C33/$C$27)</f>
        <v>110.21304427506421</v>
      </c>
      <c r="D35" s="25"/>
      <c r="E35" s="25">
        <f>SUM(E33/$C$27)</f>
        <v>165.31956641259632</v>
      </c>
    </row>
    <row r="36" spans="1:5" s="1" customFormat="1" ht="13.8" x14ac:dyDescent="0.25">
      <c r="B36" s="1" t="s">
        <v>15</v>
      </c>
      <c r="C36" s="27">
        <f>SUM(C35/($C$28*30))</f>
        <v>0.83494730511412274</v>
      </c>
      <c r="D36" s="27"/>
      <c r="E36" s="27">
        <f>SUM(E35/($C$28*30))</f>
        <v>1.2524209576711842</v>
      </c>
    </row>
    <row r="37" spans="1:5" s="1" customFormat="1" ht="13.8" x14ac:dyDescent="0.25">
      <c r="C37" s="27"/>
      <c r="D37" s="27"/>
      <c r="E37" s="27"/>
    </row>
    <row r="38" spans="1:5" s="1" customFormat="1" ht="13.8" x14ac:dyDescent="0.25">
      <c r="A38" s="16" t="s">
        <v>26</v>
      </c>
    </row>
    <row r="39" spans="1:5" s="1" customFormat="1" ht="7.5" customHeight="1" x14ac:dyDescent="0.25">
      <c r="A39" s="16"/>
      <c r="C39" s="30"/>
      <c r="D39" s="31"/>
      <c r="E39" s="32"/>
    </row>
    <row r="40" spans="1:5" s="1" customFormat="1" ht="14.25" customHeight="1" x14ac:dyDescent="0.25">
      <c r="B40" s="1" t="s">
        <v>6</v>
      </c>
      <c r="C40" s="19">
        <v>1450</v>
      </c>
    </row>
    <row r="41" spans="1:5" s="1" customFormat="1" ht="13.8" x14ac:dyDescent="0.25">
      <c r="B41" s="1" t="s">
        <v>24</v>
      </c>
      <c r="C41" s="47">
        <f>SUM(C40^0.75/1000^0.75)</f>
        <v>1.3213747439409014</v>
      </c>
    </row>
    <row r="42" spans="1:5" s="1" customFormat="1" ht="13.8" x14ac:dyDescent="0.25">
      <c r="B42" s="1" t="s">
        <v>4</v>
      </c>
      <c r="C42" s="33">
        <f>ROUND(((C29/(C7/30))/(C40^0.75/1000^0.75)),1)</f>
        <v>30.3</v>
      </c>
      <c r="D42" s="29" t="str">
        <f>"(Equivalent stocking rate to "&amp;C9&amp;" lb pairs)"</f>
        <v>(Equivalent stocking rate to 1350 lb pairs)</v>
      </c>
    </row>
    <row r="43" spans="1:5" s="1" customFormat="1" ht="13.8" x14ac:dyDescent="0.25">
      <c r="B43" s="1" t="s">
        <v>5</v>
      </c>
      <c r="C43" s="1">
        <f>C7/30</f>
        <v>4.4000000000000004</v>
      </c>
    </row>
    <row r="44" spans="1:5" s="1" customFormat="1" ht="13.8" x14ac:dyDescent="0.25">
      <c r="B44" s="1" t="s">
        <v>8</v>
      </c>
      <c r="C44" s="48">
        <f>C42*(C40^0.75/1000^0.75)*(C7/30)</f>
        <v>176.16568086220099</v>
      </c>
    </row>
    <row r="45" spans="1:5" s="1" customFormat="1" ht="6.75" customHeight="1" x14ac:dyDescent="0.25"/>
    <row r="46" spans="1:5" s="1" customFormat="1" ht="13.8" x14ac:dyDescent="0.25">
      <c r="C46" s="20" t="s">
        <v>1</v>
      </c>
      <c r="D46" s="20"/>
      <c r="E46" s="20" t="s">
        <v>2</v>
      </c>
    </row>
    <row r="47" spans="1:5" s="1" customFormat="1" ht="13.8" x14ac:dyDescent="0.25">
      <c r="B47" s="1" t="s">
        <v>7</v>
      </c>
      <c r="C47" s="34">
        <f>C32</f>
        <v>20</v>
      </c>
      <c r="D47" s="11"/>
      <c r="E47" s="34">
        <f>E32</f>
        <v>30</v>
      </c>
    </row>
    <row r="48" spans="1:5" s="1" customFormat="1" ht="13.8" x14ac:dyDescent="0.25">
      <c r="B48" s="1" t="s">
        <v>9</v>
      </c>
      <c r="C48" s="25">
        <f>SUM(C47*$C$29)</f>
        <v>3526.8174168020546</v>
      </c>
      <c r="D48" s="25"/>
      <c r="E48" s="25">
        <f>SUM(E47*$C$29)</f>
        <v>5290.2261252030821</v>
      </c>
    </row>
    <row r="49" spans="1:16" s="1" customFormat="1" ht="13.8" x14ac:dyDescent="0.25">
      <c r="B49" s="1" t="s">
        <v>13</v>
      </c>
      <c r="C49" s="51">
        <f>SUM(C48/$C$6)</f>
        <v>22.042608855012841</v>
      </c>
      <c r="D49" s="35"/>
      <c r="E49" s="51">
        <f>SUM(E48/$C$6)</f>
        <v>33.063913282519266</v>
      </c>
    </row>
    <row r="50" spans="1:16" s="1" customFormat="1" ht="13.8" x14ac:dyDescent="0.25">
      <c r="B50" s="1" t="s">
        <v>14</v>
      </c>
      <c r="C50" s="25">
        <f>SUM(C48/C42)</f>
        <v>116.39661441590938</v>
      </c>
      <c r="D50" s="25"/>
      <c r="E50" s="25">
        <f>SUM(E48/C42)</f>
        <v>174.59492162386408</v>
      </c>
    </row>
    <row r="51" spans="1:16" s="1" customFormat="1" ht="13.8" x14ac:dyDescent="0.25">
      <c r="B51" s="1" t="s">
        <v>15</v>
      </c>
      <c r="C51" s="27">
        <f>SUM(C50/($C$28*30))</f>
        <v>0.881792533453859</v>
      </c>
      <c r="D51" s="27"/>
      <c r="E51" s="27">
        <f>SUM(E50/($C$28*30))</f>
        <v>1.3226888001807886</v>
      </c>
    </row>
    <row r="52" spans="1:16" s="1" customFormat="1" ht="13.8" x14ac:dyDescent="0.25"/>
    <row r="53" spans="1:16" s="15" customFormat="1" ht="14.25" customHeight="1" x14ac:dyDescent="0.3">
      <c r="A53" s="160" t="s">
        <v>28</v>
      </c>
      <c r="B53" s="161"/>
      <c r="C53" s="161"/>
      <c r="D53" s="161"/>
      <c r="E53" s="161"/>
      <c r="F53" s="161"/>
      <c r="G53" s="161"/>
      <c r="H53" s="161"/>
    </row>
    <row r="54" spans="1:16" s="15" customFormat="1" ht="14.25" customHeight="1" x14ac:dyDescent="0.3">
      <c r="A54" s="161"/>
      <c r="B54" s="161"/>
      <c r="C54" s="161"/>
      <c r="D54" s="161"/>
      <c r="E54" s="161"/>
      <c r="F54" s="161"/>
      <c r="G54" s="161"/>
      <c r="H54" s="161"/>
    </row>
    <row r="55" spans="1:16" ht="6.75" customHeight="1" x14ac:dyDescent="0.3">
      <c r="A55" s="1"/>
      <c r="B55" s="1"/>
      <c r="C55" s="2"/>
      <c r="D55" s="2"/>
      <c r="E55" s="2"/>
      <c r="F55" s="2"/>
    </row>
    <row r="56" spans="1:16" x14ac:dyDescent="0.3">
      <c r="A56" s="162" t="s">
        <v>31</v>
      </c>
      <c r="B56" s="162"/>
      <c r="C56" s="162"/>
      <c r="D56" s="162"/>
      <c r="E56" s="162"/>
      <c r="F56" s="162"/>
      <c r="G56" s="162"/>
      <c r="H56" s="162"/>
    </row>
    <row r="57" spans="1:16" x14ac:dyDescent="0.3">
      <c r="A57" s="162"/>
      <c r="B57" s="162"/>
      <c r="C57" s="162"/>
      <c r="D57" s="162"/>
      <c r="E57" s="162"/>
      <c r="F57" s="162"/>
      <c r="G57" s="162"/>
      <c r="H57" s="162"/>
    </row>
    <row r="58" spans="1:16" x14ac:dyDescent="0.3">
      <c r="A58" s="162"/>
      <c r="B58" s="162"/>
      <c r="C58" s="162"/>
      <c r="D58" s="162"/>
      <c r="E58" s="162"/>
      <c r="F58" s="162"/>
      <c r="G58" s="162"/>
      <c r="H58" s="162"/>
    </row>
    <row r="59" spans="1:16" x14ac:dyDescent="0.3">
      <c r="A59" s="162"/>
      <c r="B59" s="162"/>
      <c r="C59" s="162"/>
      <c r="D59" s="162"/>
      <c r="E59" s="162"/>
      <c r="F59" s="162"/>
      <c r="G59" s="162"/>
      <c r="H59" s="162"/>
    </row>
    <row r="60" spans="1:16" ht="7.5" customHeight="1" x14ac:dyDescent="0.3"/>
    <row r="61" spans="1:16" ht="14.55" customHeight="1" x14ac:dyDescent="0.3">
      <c r="A61" s="36" t="s">
        <v>29</v>
      </c>
      <c r="B61" s="37"/>
      <c r="C61" s="37"/>
      <c r="E61" s="44"/>
      <c r="F61" s="44"/>
      <c r="G61" s="44"/>
      <c r="H61" s="38" t="s">
        <v>33</v>
      </c>
      <c r="J61" s="39"/>
      <c r="K61" s="39"/>
      <c r="L61" s="39"/>
      <c r="N61" s="40"/>
      <c r="O61" s="41"/>
      <c r="P61" s="41"/>
    </row>
    <row r="62" spans="1:16" ht="15.75" customHeight="1" x14ac:dyDescent="0.3">
      <c r="A62" s="42" t="s">
        <v>19</v>
      </c>
      <c r="B62" s="43"/>
      <c r="C62" s="43"/>
      <c r="D62" s="43"/>
      <c r="N62" s="40"/>
      <c r="O62" s="41"/>
      <c r="P62" s="41"/>
    </row>
    <row r="63" spans="1:16" s="7" customFormat="1" ht="13.8" x14ac:dyDescent="0.25">
      <c r="A63" s="13" t="s">
        <v>20</v>
      </c>
      <c r="C63" s="13" t="s">
        <v>21</v>
      </c>
      <c r="D63" s="9"/>
    </row>
    <row r="64" spans="1:16" s="7" customFormat="1" ht="13.8" x14ac:dyDescent="0.25">
      <c r="A64" s="8" t="s">
        <v>30</v>
      </c>
      <c r="C64" s="8" t="s">
        <v>32</v>
      </c>
      <c r="D64" s="11"/>
    </row>
    <row r="65" spans="1:5" s="7" customFormat="1" ht="3.75" customHeight="1" x14ac:dyDescent="0.3">
      <c r="A65" s="8"/>
      <c r="C65" s="8"/>
    </row>
    <row r="66" spans="1:5" s="9" customFormat="1" x14ac:dyDescent="0.3">
      <c r="C66" s="10"/>
    </row>
    <row r="67" spans="1:5" s="11" customFormat="1" ht="13.8" x14ac:dyDescent="0.25">
      <c r="C67" s="12"/>
    </row>
    <row r="68" spans="1:5" x14ac:dyDescent="0.3">
      <c r="C68" s="45"/>
    </row>
    <row r="69" spans="1:5" x14ac:dyDescent="0.3">
      <c r="C69" s="45"/>
      <c r="E69" s="8"/>
    </row>
  </sheetData>
  <mergeCells count="2">
    <mergeCell ref="A53:H54"/>
    <mergeCell ref="A56:H59"/>
  </mergeCells>
  <hyperlinks>
    <hyperlink ref="A63" r:id="rId1" xr:uid="{00000000-0004-0000-0200-000000000000}"/>
    <hyperlink ref="C63" r:id="rId2" xr:uid="{00000000-0004-0000-0200-000001000000}"/>
  </hyperlinks>
  <printOptions horizontalCentered="1"/>
  <pageMargins left="0.70866141732283472" right="0.70866141732283472" top="0.74803149606299213" bottom="0.74803149606299213" header="0.31496062992125984" footer="0.31496062992125984"/>
  <pageSetup scale="77" orientation="portrait" r:id="rId3"/>
  <headerFooter>
    <oddFooter>&amp;RManitoba Agriculture, Farm Management</oddFoot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0445858-12DA-4F87-83A7-2537D1DEF71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www.w3.org/XML/1998/namespace"/>
  </ds:schemaRefs>
</ds:datastoreItem>
</file>

<file path=customXml/itemProps2.xml><?xml version="1.0" encoding="utf-8"?>
<ds:datastoreItem xmlns:ds="http://schemas.openxmlformats.org/officeDocument/2006/customXml" ds:itemID="{AF574B77-B061-4CFE-BBFF-CEAEC74A13A5}">
  <ds:schemaRefs>
    <ds:schemaRef ds:uri="http://schemas.microsoft.com/sharepoint/v3/contenttype/forms"/>
  </ds:schemaRefs>
</ds:datastoreItem>
</file>

<file path=customXml/itemProps3.xml><?xml version="1.0" encoding="utf-8"?>
<ds:datastoreItem xmlns:ds="http://schemas.openxmlformats.org/officeDocument/2006/customXml" ds:itemID="{0DA55C6D-D827-4201-A8D2-D6A91F5BA245}"/>
</file>

<file path=customXml/itemProps4.xml><?xml version="1.0" encoding="utf-8"?>
<ds:datastoreItem xmlns:ds="http://schemas.openxmlformats.org/officeDocument/2006/customXml" ds:itemID="{089EBBDB-B708-4C63-B046-0A707C2CCE2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Pasture</vt:lpstr>
      <vt:lpstr>Fence Cost &amp; AUM Analysis</vt:lpstr>
      <vt:lpstr>OLD</vt:lpstr>
      <vt:lpstr>Pasture!Print_Area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Pasture Rental Rate Calculator</dc:title>
  <dc:creator>bgwyer</dc:creator>
  <cp:lastModifiedBy>Mashinini, Khosi (ARD)</cp:lastModifiedBy>
  <cp:lastPrinted>2023-04-26T16:36:26Z</cp:lastPrinted>
  <dcterms:created xsi:type="dcterms:W3CDTF">2015-05-12T18:10:07Z</dcterms:created>
  <dcterms:modified xsi:type="dcterms:W3CDTF">2024-05-06T15:47:07Z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