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ME\Data\D03\Farm Management\Production Economics\COP decision support tools\2 - Forage and Livestock Calculators\2025\"/>
    </mc:Choice>
  </mc:AlternateContent>
  <xr:revisionPtr revIDLastSave="0" documentId="13_ncr:1_{7B6C6FB4-58D9-46F4-8A3D-C0D2845E9E39}" xr6:coauthVersionLast="47" xr6:coauthVersionMax="47" xr10:uidLastSave="{00000000-0000-0000-0000-000000000000}"/>
  <workbookProtection workbookPassword="C6A6" lockStructure="1"/>
  <bookViews>
    <workbookView xWindow="-108" yWindow="-108" windowWidth="23256" windowHeight="12576" xr2:uid="{00000000-000D-0000-FFFF-FFFF00000000}"/>
  </bookViews>
  <sheets>
    <sheet name="Forage Purchase" sheetId="4" r:id="rId1"/>
    <sheet name="Forage Purchase (with TDN HIDE)" sheetId="5" state="hidden" r:id="rId2"/>
    <sheet name="conversion" sheetId="3" state="hidden" r:id="rId3"/>
    <sheet name="Sheet1" sheetId="1" state="hidden" r:id="rId4"/>
    <sheet name="Sheet2" sheetId="2" state="hidden" r:id="rId5"/>
  </sheets>
  <definedNames>
    <definedName name="_xlnm.Print_Area" localSheetId="0">'Forage Purchase'!$A$1:$H$49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5" l="1"/>
  <c r="F30" i="5"/>
  <c r="E30" i="5"/>
  <c r="C30" i="5"/>
  <c r="B30" i="5"/>
  <c r="E27" i="5"/>
  <c r="H27" i="5" s="1"/>
  <c r="B27" i="5"/>
  <c r="B28" i="5" s="1"/>
  <c r="C34" i="5" s="1"/>
  <c r="G14" i="5"/>
  <c r="F14" i="5"/>
  <c r="E14" i="5"/>
  <c r="C14" i="5"/>
  <c r="C21" i="5" s="1"/>
  <c r="B14" i="5"/>
  <c r="G13" i="5"/>
  <c r="F13" i="5"/>
  <c r="E13" i="5"/>
  <c r="C13" i="5"/>
  <c r="B13" i="5"/>
  <c r="G11" i="5"/>
  <c r="G21" i="5" s="1"/>
  <c r="F11" i="5"/>
  <c r="F21" i="5" s="1"/>
  <c r="E11" i="5"/>
  <c r="E20" i="5" s="1"/>
  <c r="C11" i="5"/>
  <c r="C20" i="5" s="1"/>
  <c r="B11" i="5"/>
  <c r="G3" i="5"/>
  <c r="E21" i="5" l="1"/>
  <c r="C17" i="5"/>
  <c r="C35" i="5" s="1"/>
  <c r="C36" i="5" s="1"/>
  <c r="C19" i="5" s="1"/>
  <c r="B21" i="5"/>
  <c r="F20" i="5"/>
  <c r="E17" i="5"/>
  <c r="E42" i="5" s="1"/>
  <c r="E43" i="5" s="1"/>
  <c r="E28" i="5"/>
  <c r="E34" i="5" s="1"/>
  <c r="E37" i="5" s="1"/>
  <c r="G34" i="5"/>
  <c r="G38" i="5" s="1"/>
  <c r="C37" i="5"/>
  <c r="C38" i="5"/>
  <c r="C31" i="5"/>
  <c r="B34" i="5"/>
  <c r="C18" i="5"/>
  <c r="C42" i="5"/>
  <c r="F17" i="5"/>
  <c r="E18" i="5"/>
  <c r="B20" i="5"/>
  <c r="G20" i="5"/>
  <c r="B31" i="5"/>
  <c r="B17" i="5"/>
  <c r="G17" i="5"/>
  <c r="G37" i="5" l="1"/>
  <c r="E38" i="5"/>
  <c r="E35" i="5"/>
  <c r="E36" i="5" s="1"/>
  <c r="E19" i="5" s="1"/>
  <c r="F31" i="5"/>
  <c r="E44" i="5"/>
  <c r="E45" i="5" s="1"/>
  <c r="G31" i="5"/>
  <c r="E31" i="5"/>
  <c r="F34" i="5"/>
  <c r="B42" i="5"/>
  <c r="B35" i="5"/>
  <c r="B36" i="5" s="1"/>
  <c r="B19" i="5" s="1"/>
  <c r="B18" i="5"/>
  <c r="B38" i="5"/>
  <c r="B37" i="5"/>
  <c r="C44" i="5"/>
  <c r="C45" i="5" s="1"/>
  <c r="C43" i="5"/>
  <c r="G42" i="5"/>
  <c r="G35" i="5"/>
  <c r="G36" i="5" s="1"/>
  <c r="G19" i="5" s="1"/>
  <c r="G18" i="5"/>
  <c r="F42" i="5"/>
  <c r="F35" i="5"/>
  <c r="F36" i="5" s="1"/>
  <c r="F19" i="5" s="1"/>
  <c r="F18" i="5"/>
  <c r="F37" i="5" l="1"/>
  <c r="F38" i="5"/>
  <c r="G44" i="5"/>
  <c r="G45" i="5" s="1"/>
  <c r="G43" i="5"/>
  <c r="F44" i="5"/>
  <c r="F45" i="5" s="1"/>
  <c r="F43" i="5"/>
  <c r="B44" i="5"/>
  <c r="B45" i="5" s="1"/>
  <c r="B43" i="5"/>
  <c r="H3" i="3" l="1"/>
  <c r="G3" i="4"/>
  <c r="B20" i="3" l="1"/>
  <c r="G11" i="4"/>
  <c r="F11" i="4"/>
  <c r="E11" i="4"/>
  <c r="C11" i="4"/>
  <c r="B11" i="4"/>
  <c r="G14" i="4"/>
  <c r="F14" i="4"/>
  <c r="E14" i="4"/>
  <c r="C14" i="4"/>
  <c r="B14" i="4"/>
  <c r="G13" i="4"/>
  <c r="F13" i="4"/>
  <c r="E13" i="4"/>
  <c r="C13" i="4"/>
  <c r="B13" i="4"/>
  <c r="G30" i="4"/>
  <c r="F30" i="4"/>
  <c r="E30" i="4"/>
  <c r="C30" i="4"/>
  <c r="B30" i="4"/>
  <c r="E27" i="4"/>
  <c r="H27" i="4" s="1"/>
  <c r="B27" i="4"/>
  <c r="B28" i="4" s="1"/>
  <c r="G17" i="4" l="1"/>
  <c r="G40" i="4" s="1"/>
  <c r="F17" i="4"/>
  <c r="F40" i="4" s="1"/>
  <c r="E17" i="4"/>
  <c r="E40" i="4" s="1"/>
  <c r="C34" i="4"/>
  <c r="C35" i="4" s="1"/>
  <c r="C36" i="4" s="1"/>
  <c r="C19" i="4" s="1"/>
  <c r="C17" i="4"/>
  <c r="C40" i="4" s="1"/>
  <c r="B34" i="4"/>
  <c r="B35" i="4" s="1"/>
  <c r="B36" i="4" s="1"/>
  <c r="B19" i="4" s="1"/>
  <c r="B17" i="4"/>
  <c r="B18" i="4" s="1"/>
  <c r="E28" i="4"/>
  <c r="G34" i="4" s="1"/>
  <c r="G35" i="4" s="1"/>
  <c r="C31" i="4"/>
  <c r="G20" i="4"/>
  <c r="E20" i="4"/>
  <c r="C20" i="4"/>
  <c r="F20" i="4"/>
  <c r="B21" i="4"/>
  <c r="G21" i="4"/>
  <c r="C21" i="4"/>
  <c r="E21" i="4"/>
  <c r="B20" i="4"/>
  <c r="F21" i="4"/>
  <c r="B31" i="4"/>
  <c r="H9" i="2"/>
  <c r="I9" i="2" s="1"/>
  <c r="J7" i="2"/>
  <c r="E7" i="2"/>
  <c r="F7" i="2" s="1"/>
  <c r="B7" i="2"/>
  <c r="J6" i="2"/>
  <c r="E6" i="2"/>
  <c r="H6" i="2" s="1"/>
  <c r="G6" i="2" s="1"/>
  <c r="B6" i="2"/>
  <c r="J5" i="2"/>
  <c r="H5" i="2"/>
  <c r="G5" i="2" s="1"/>
  <c r="E5" i="2"/>
  <c r="F5" i="2" s="1"/>
  <c r="B5" i="2"/>
  <c r="J4" i="2"/>
  <c r="E4" i="2"/>
  <c r="F4" i="2" s="1"/>
  <c r="B4" i="2"/>
  <c r="J3" i="2"/>
  <c r="E3" i="2"/>
  <c r="F3" i="2" s="1"/>
  <c r="B3" i="2"/>
  <c r="H4" i="2" l="1"/>
  <c r="G4" i="2" s="1"/>
  <c r="F6" i="2"/>
  <c r="E34" i="4"/>
  <c r="E35" i="4" s="1"/>
  <c r="E36" i="4" s="1"/>
  <c r="E19" i="4" s="1"/>
  <c r="F34" i="4"/>
  <c r="F35" i="4" s="1"/>
  <c r="G41" i="4"/>
  <c r="G42" i="4"/>
  <c r="G43" i="4" s="1"/>
  <c r="G18" i="4"/>
  <c r="C41" i="4"/>
  <c r="C42" i="4"/>
  <c r="C43" i="4" s="1"/>
  <c r="C18" i="4"/>
  <c r="B40" i="4"/>
  <c r="F42" i="4"/>
  <c r="F43" i="4" s="1"/>
  <c r="F41" i="4"/>
  <c r="E42" i="4"/>
  <c r="E43" i="4" s="1"/>
  <c r="E41" i="4"/>
  <c r="G31" i="4"/>
  <c r="F31" i="4"/>
  <c r="E31" i="4"/>
  <c r="E18" i="4"/>
  <c r="F18" i="4"/>
  <c r="H3" i="2"/>
  <c r="G3" i="2" s="1"/>
  <c r="H7" i="2"/>
  <c r="G7" i="2" s="1"/>
  <c r="D15" i="1"/>
  <c r="D16" i="1" s="1"/>
  <c r="E16" i="1" s="1"/>
  <c r="D10" i="1"/>
  <c r="D11" i="1" s="1"/>
  <c r="F11" i="1" s="1"/>
  <c r="H11" i="1" s="1"/>
  <c r="C6" i="1"/>
  <c r="C2" i="1"/>
  <c r="B41" i="4" l="1"/>
  <c r="B42" i="4"/>
  <c r="B43" i="4" s="1"/>
  <c r="F36" i="4"/>
  <c r="F19" i="4" s="1"/>
  <c r="G36" i="4"/>
  <c r="G19" i="4" s="1"/>
  <c r="E10" i="1"/>
  <c r="E11" i="1"/>
</calcChain>
</file>

<file path=xl/sharedStrings.xml><?xml version="1.0" encoding="utf-8"?>
<sst xmlns="http://schemas.openxmlformats.org/spreadsheetml/2006/main" count="218" uniqueCount="112">
  <si>
    <t xml:space="preserve">silage yield </t>
  </si>
  <si>
    <t xml:space="preserve">ton </t>
  </si>
  <si>
    <t xml:space="preserve">moisture </t>
  </si>
  <si>
    <t xml:space="preserve">silage moisture </t>
  </si>
  <si>
    <t xml:space="preserve">dry hay to silage </t>
  </si>
  <si>
    <t xml:space="preserve">hay yield </t>
  </si>
  <si>
    <t xml:space="preserve">hay moisture </t>
  </si>
  <si>
    <t>silage yield @</t>
  </si>
  <si>
    <t>dry hay yield at  @</t>
  </si>
  <si>
    <t xml:space="preserve">convert to hay equivalent </t>
  </si>
  <si>
    <t xml:space="preserve">DM basis </t>
  </si>
  <si>
    <t xml:space="preserve">convert to silage </t>
  </si>
  <si>
    <t xml:space="preserve">DM baisis </t>
  </si>
  <si>
    <t xml:space="preserve">Silage equivalent price </t>
  </si>
  <si>
    <t xml:space="preserve">price of hay/ton converted to silage equivalnet </t>
  </si>
  <si>
    <t xml:space="preserve">price of silage/ton converted to hay equivalent </t>
  </si>
  <si>
    <t xml:space="preserve">Ton </t>
  </si>
  <si>
    <t>lb/bale</t>
  </si>
  <si>
    <t xml:space="preserve">per bale </t>
  </si>
  <si>
    <t xml:space="preserve">mile haul </t>
  </si>
  <si>
    <t xml:space="preserve">loaded mile </t>
  </si>
  <si>
    <t xml:space="preserve">bales per load </t>
  </si>
  <si>
    <t xml:space="preserve">silage to dry hay </t>
  </si>
  <si>
    <t>mile haul</t>
  </si>
  <si>
    <t>tons/load</t>
  </si>
  <si>
    <t xml:space="preserve">After freight </t>
  </si>
  <si>
    <t>cents/lb</t>
  </si>
  <si>
    <t xml:space="preserve">hay equivalent as fed price </t>
  </si>
  <si>
    <t>Ton DM</t>
  </si>
  <si>
    <t>cents/lb DM</t>
  </si>
  <si>
    <t>after freight</t>
  </si>
  <si>
    <t xml:space="preserve">mile Haul </t>
  </si>
  <si>
    <t xml:space="preserve">WT/load </t>
  </si>
  <si>
    <t xml:space="preserve">price of silage vs hay </t>
  </si>
  <si>
    <t xml:space="preserve">Bale Freight cost </t>
  </si>
  <si>
    <t xml:space="preserve">Tons/load </t>
  </si>
  <si>
    <t xml:space="preserve">Freight Cost </t>
  </si>
  <si>
    <t xml:space="preserve">per load </t>
  </si>
  <si>
    <t xml:space="preserve">Bales </t>
  </si>
  <si>
    <t xml:space="preserve">piled silage </t>
  </si>
  <si>
    <t xml:space="preserve">Piled Silage Freight Cost </t>
  </si>
  <si>
    <t>moisture %</t>
  </si>
  <si>
    <t>ton</t>
  </si>
  <si>
    <t>yield convertor</t>
  </si>
  <si>
    <t>(red after 55000lbs)</t>
  </si>
  <si>
    <t>$/ton DM</t>
  </si>
  <si>
    <t>$/ton after freight</t>
  </si>
  <si>
    <t>1650/24+40</t>
  </si>
  <si>
    <t>Piled Silage</t>
  </si>
  <si>
    <t>Units per load</t>
  </si>
  <si>
    <t>Freight cost ($/loaded mile)</t>
  </si>
  <si>
    <t>Pounds per unit</t>
  </si>
  <si>
    <t>Miles hauled</t>
  </si>
  <si>
    <t>Price/Ton (DM after freight)</t>
  </si>
  <si>
    <t>Price/Ton (as fed after freight)</t>
  </si>
  <si>
    <t>Price/lb (DM after freight)</t>
  </si>
  <si>
    <t>Baled Forage</t>
  </si>
  <si>
    <t>Total freight cost per load</t>
  </si>
  <si>
    <t>Price/lb (DM)</t>
  </si>
  <si>
    <t>Price/unit (as fed)</t>
  </si>
  <si>
    <t>Price/Ton - Dry Matter (DM)</t>
  </si>
  <si>
    <t>Total freight cost per ton</t>
  </si>
  <si>
    <t>Crude protein DM (CP)%</t>
  </si>
  <si>
    <t>Energy DM (TDN) %</t>
  </si>
  <si>
    <t>As fed moisture %</t>
  </si>
  <si>
    <t>Forage Type</t>
  </si>
  <si>
    <t>Alfalfa/Grass Hay</t>
  </si>
  <si>
    <t>Alfalfa Hay</t>
  </si>
  <si>
    <t>Greenfeed</t>
  </si>
  <si>
    <t>As fed moisture content (%)</t>
  </si>
  <si>
    <t>Barley Silage</t>
  </si>
  <si>
    <t>Corn Silage</t>
  </si>
  <si>
    <t>Alfalfa/Grass Silage</t>
  </si>
  <si>
    <t>Price/lb (TDN)</t>
  </si>
  <si>
    <t>Price/lb (CP)</t>
  </si>
  <si>
    <t>Calculation #2 - Freight Cost</t>
  </si>
  <si>
    <t xml:space="preserve">As fed pounds per load </t>
  </si>
  <si>
    <t xml:space="preserve">As fed tons per load </t>
  </si>
  <si>
    <t>Price/lb (TDN after freight)</t>
  </si>
  <si>
    <t>Price/lb (CP after freight)</t>
  </si>
  <si>
    <t>Eqivalent price (as fed)</t>
  </si>
  <si>
    <t>Eqivalent price (as fed after frieght)</t>
  </si>
  <si>
    <t>**HIDE**</t>
  </si>
  <si>
    <t>Potential Forage Purchase Comparison</t>
  </si>
  <si>
    <t>Calculation #3 - Forage Cost including Freight</t>
  </si>
  <si>
    <t>@</t>
  </si>
  <si>
    <t>% Moisture</t>
  </si>
  <si>
    <t>. . . . . . . . . . . . . . . . . . . . . . . . . . . . . . . . . . . . . . . . . . . . . . . . . . .</t>
  </si>
  <si>
    <t>Printed:</t>
  </si>
  <si>
    <r>
      <t xml:space="preserve">*** Enter changes to </t>
    </r>
    <r>
      <rPr>
        <b/>
        <sz val="10"/>
        <color indexed="12"/>
        <rFont val="Arial"/>
        <family val="2"/>
      </rPr>
      <t>BLUE</t>
    </r>
    <r>
      <rPr>
        <b/>
        <sz val="10"/>
        <color indexed="48"/>
        <rFont val="Arial"/>
        <family val="2"/>
      </rPr>
      <t xml:space="preserve"> </t>
    </r>
    <r>
      <rPr>
        <b/>
        <sz val="10"/>
        <rFont val="Arial"/>
        <family val="2"/>
      </rPr>
      <t>values only ***</t>
    </r>
  </si>
  <si>
    <t>Price/lb (as fed)</t>
  </si>
  <si>
    <t xml:space="preserve">Created and maintained by </t>
  </si>
  <si>
    <t xml:space="preserve">                                         </t>
  </si>
  <si>
    <t xml:space="preserve">For more information, contact your local </t>
  </si>
  <si>
    <t>Benjamin Hamm</t>
  </si>
  <si>
    <t>Greg Fedak</t>
  </si>
  <si>
    <t>Farm Management Specialist</t>
  </si>
  <si>
    <t>Roy Arnott</t>
  </si>
  <si>
    <t xml:space="preserve">A/Manager-Farm Management        </t>
  </si>
  <si>
    <t>November, 2019</t>
  </si>
  <si>
    <t>Forage Yield Moisture Conversion Calculator</t>
  </si>
  <si>
    <r>
      <rPr>
        <b/>
        <sz val="12"/>
        <color theme="1"/>
        <rFont val="Arial"/>
        <family val="2"/>
      </rPr>
      <t>Price/lb (DM after freight)</t>
    </r>
    <r>
      <rPr>
        <sz val="12"/>
        <color theme="1"/>
        <rFont val="Arial"/>
        <family val="2"/>
      </rPr>
      <t xml:space="preserve">
      </t>
    </r>
    <r>
      <rPr>
        <sz val="9"/>
        <color theme="1"/>
        <rFont val="Arial"/>
        <family val="2"/>
      </rPr>
      <t xml:space="preserve"> (from Calculation #3 below)</t>
    </r>
  </si>
  <si>
    <t>Forage yield</t>
  </si>
  <si>
    <t>Equivalent Forage yield</t>
  </si>
  <si>
    <t xml:space="preserve">tons/acre (as fed) </t>
  </si>
  <si>
    <t>tons/acre</t>
  </si>
  <si>
    <t>Compare to moisture content (%)</t>
  </si>
  <si>
    <t xml:space="preserve">. . . . . . . . . . . . . . . . . . . . . . . . . . . . . . . . . . . . . . . . . . . . . . . </t>
  </si>
  <si>
    <t>Calculation #4 - Equivalent Purchase Price for Different Forage Moisture Values</t>
  </si>
  <si>
    <t>Forage Purchase Decision Calculator</t>
  </si>
  <si>
    <t>Calculation #1 - Forage Cost Analysis</t>
  </si>
  <si>
    <t>September,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</si>
</sst>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"/>
    <numFmt numFmtId="165" formatCode="_-&quot;$&quot;* #,##0.000_-;\-&quot;$&quot;* #,##0.000_-;_-&quot;$&quot;* &quot;-&quot;??_-;_-@_-"/>
    <numFmt numFmtId="166" formatCode="&quot;$&quot;#,##0.00"/>
    <numFmt numFmtId="167" formatCode="&quot;$&quot;#,##0"/>
    <numFmt numFmtId="168" formatCode="&quot;$&quot;#,##0.000"/>
    <numFmt numFmtId="169" formatCode="0.0"/>
    <numFmt numFmtId="170" formatCode="#,##0.0"/>
    <numFmt numFmtId="171" formatCode="&quot;$&quot;#,##0;\(&quot;$&quot;#,##0\)"/>
    <numFmt numFmtId="172" formatCode="&quot;$&quot;#,##0.0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4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48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b/>
      <sz val="12"/>
      <color rgb="FF0070C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b/>
      <u/>
      <sz val="10"/>
      <color theme="10"/>
      <name val="Arial"/>
      <family val="2"/>
    </font>
    <font>
      <b/>
      <u/>
      <sz val="10"/>
      <color rgb="FF0000FF"/>
      <name val="Arial"/>
      <family val="2"/>
    </font>
    <font>
      <sz val="14"/>
      <color theme="1"/>
      <name val="Arial"/>
      <family val="2"/>
    </font>
    <font>
      <b/>
      <sz val="14"/>
      <color rgb="FF0000FF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0000FF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30" fillId="0" borderId="0" applyNumberFormat="0" applyFill="0" applyBorder="0" applyAlignment="0" applyProtection="0">
      <alignment vertical="top"/>
      <protection locked="0"/>
    </xf>
    <xf numFmtId="166" fontId="8" fillId="0" borderId="0">
      <alignment vertical="top"/>
    </xf>
    <xf numFmtId="166" fontId="8" fillId="0" borderId="0">
      <alignment vertical="top"/>
    </xf>
  </cellStyleXfs>
  <cellXfs count="201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1" fontId="3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7" xfId="0" applyBorder="1"/>
    <xf numFmtId="0" fontId="0" fillId="0" borderId="8" xfId="0" applyBorder="1"/>
    <xf numFmtId="0" fontId="3" fillId="0" borderId="2" xfId="0" applyFont="1" applyBorder="1"/>
    <xf numFmtId="2" fontId="0" fillId="0" borderId="5" xfId="0" applyNumberFormat="1" applyBorder="1"/>
    <xf numFmtId="0" fontId="3" fillId="0" borderId="4" xfId="0" applyFont="1" applyBorder="1"/>
    <xf numFmtId="2" fontId="0" fillId="0" borderId="8" xfId="0" applyNumberFormat="1" applyBorder="1"/>
    <xf numFmtId="0" fontId="0" fillId="0" borderId="9" xfId="0" applyBorder="1"/>
    <xf numFmtId="164" fontId="0" fillId="0" borderId="10" xfId="0" applyNumberFormat="1" applyBorder="1"/>
    <xf numFmtId="0" fontId="0" fillId="0" borderId="11" xfId="0" applyBorder="1"/>
    <xf numFmtId="44" fontId="3" fillId="0" borderId="4" xfId="1" applyFont="1" applyBorder="1"/>
    <xf numFmtId="0" fontId="3" fillId="0" borderId="5" xfId="0" applyFont="1" applyBorder="1"/>
    <xf numFmtId="44" fontId="3" fillId="0" borderId="6" xfId="1" applyFont="1" applyBorder="1"/>
    <xf numFmtId="0" fontId="3" fillId="0" borderId="8" xfId="0" applyFont="1" applyBorder="1"/>
    <xf numFmtId="0" fontId="0" fillId="0" borderId="13" xfId="0" applyBorder="1"/>
    <xf numFmtId="0" fontId="3" fillId="0" borderId="14" xfId="0" applyFont="1" applyBorder="1"/>
    <xf numFmtId="0" fontId="0" fillId="0" borderId="14" xfId="0" applyBorder="1"/>
    <xf numFmtId="0" fontId="2" fillId="0" borderId="14" xfId="0" applyFont="1" applyBorder="1"/>
    <xf numFmtId="0" fontId="0" fillId="0" borderId="15" xfId="0" applyBorder="1"/>
    <xf numFmtId="2" fontId="0" fillId="0" borderId="7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0" fontId="0" fillId="0" borderId="10" xfId="0" applyBorder="1"/>
    <xf numFmtId="43" fontId="4" fillId="0" borderId="1" xfId="2" applyFont="1" applyBorder="1"/>
    <xf numFmtId="43" fontId="0" fillId="0" borderId="2" xfId="2" applyFont="1" applyFill="1" applyBorder="1"/>
    <xf numFmtId="43" fontId="0" fillId="0" borderId="3" xfId="2" applyFont="1" applyBorder="1"/>
    <xf numFmtId="43" fontId="0" fillId="0" borderId="6" xfId="2" applyFont="1" applyFill="1" applyBorder="1"/>
    <xf numFmtId="43" fontId="0" fillId="0" borderId="7" xfId="2" applyFont="1" applyFill="1" applyBorder="1"/>
    <xf numFmtId="43" fontId="0" fillId="0" borderId="8" xfId="2" applyFont="1" applyBorder="1"/>
    <xf numFmtId="0" fontId="0" fillId="0" borderId="12" xfId="0" applyBorder="1"/>
    <xf numFmtId="0" fontId="3" fillId="0" borderId="13" xfId="0" applyFont="1" applyBorder="1"/>
    <xf numFmtId="165" fontId="5" fillId="0" borderId="0" xfId="1" applyNumberFormat="1" applyFont="1" applyBorder="1"/>
    <xf numFmtId="165" fontId="5" fillId="0" borderId="7" xfId="1" applyNumberFormat="1" applyFont="1" applyBorder="1"/>
    <xf numFmtId="2" fontId="0" fillId="2" borderId="0" xfId="0" applyNumberFormat="1" applyFill="1"/>
    <xf numFmtId="2" fontId="0" fillId="2" borderId="5" xfId="0" applyNumberFormat="1" applyFill="1" applyBorder="1"/>
    <xf numFmtId="164" fontId="0" fillId="2" borderId="10" xfId="0" applyNumberFormat="1" applyFill="1" applyBorder="1"/>
    <xf numFmtId="0" fontId="6" fillId="3" borderId="0" xfId="0" applyFont="1" applyFill="1"/>
    <xf numFmtId="2" fontId="0" fillId="2" borderId="8" xfId="0" applyNumberFormat="1" applyFill="1" applyBorder="1"/>
    <xf numFmtId="44" fontId="3" fillId="0" borderId="14" xfId="1" applyFont="1" applyBorder="1"/>
    <xf numFmtId="164" fontId="0" fillId="2" borderId="4" xfId="0" applyNumberFormat="1" applyFill="1" applyBorder="1"/>
    <xf numFmtId="0" fontId="0" fillId="3" borderId="13" xfId="0" applyFill="1" applyBorder="1"/>
    <xf numFmtId="44" fontId="3" fillId="0" borderId="0" xfId="1" applyFont="1"/>
    <xf numFmtId="0" fontId="8" fillId="0" borderId="0" xfId="3" applyFont="1" applyAlignment="1"/>
    <xf numFmtId="0" fontId="7" fillId="0" borderId="0" xfId="3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3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38" fontId="12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38" fontId="0" fillId="0" borderId="0" xfId="0" applyNumberFormat="1"/>
    <xf numFmtId="38" fontId="15" fillId="0" borderId="0" xfId="0" applyNumberFormat="1" applyFont="1" applyAlignment="1">
      <alignment horizontal="center"/>
    </xf>
    <xf numFmtId="0" fontId="29" fillId="0" borderId="0" xfId="0" applyFont="1"/>
    <xf numFmtId="0" fontId="29" fillId="0" borderId="18" xfId="0" applyFont="1" applyBorder="1"/>
    <xf numFmtId="0" fontId="7" fillId="0" borderId="18" xfId="0" applyFont="1" applyBorder="1"/>
    <xf numFmtId="0" fontId="17" fillId="0" borderId="18" xfId="4" applyFont="1" applyBorder="1" applyAlignment="1">
      <alignment horizontal="right"/>
    </xf>
    <xf numFmtId="0" fontId="29" fillId="0" borderId="25" xfId="0" applyFont="1" applyBorder="1" applyAlignment="1">
      <alignment horizontal="left" vertical="center"/>
    </xf>
    <xf numFmtId="0" fontId="7" fillId="0" borderId="0" xfId="0" applyFont="1"/>
    <xf numFmtId="0" fontId="7" fillId="0" borderId="0" xfId="4" applyAlignment="1"/>
    <xf numFmtId="166" fontId="31" fillId="0" borderId="0" xfId="5" applyNumberFormat="1" applyFont="1" applyFill="1" applyProtection="1">
      <alignment vertical="top"/>
    </xf>
    <xf numFmtId="166" fontId="7" fillId="0" borderId="0" xfId="6" applyFont="1">
      <alignment vertical="top"/>
    </xf>
    <xf numFmtId="166" fontId="7" fillId="0" borderId="0" xfId="7" applyFont="1">
      <alignment vertical="top"/>
    </xf>
    <xf numFmtId="0" fontId="29" fillId="0" borderId="0" xfId="0" applyFont="1" applyAlignment="1">
      <alignment horizontal="right"/>
    </xf>
    <xf numFmtId="166" fontId="32" fillId="0" borderId="0" xfId="5" applyNumberFormat="1" applyFont="1" applyProtection="1">
      <alignment vertical="top"/>
    </xf>
    <xf numFmtId="0" fontId="32" fillId="0" borderId="0" xfId="5" applyFont="1" applyProtection="1">
      <alignment vertical="top"/>
    </xf>
    <xf numFmtId="0" fontId="29" fillId="0" borderId="0" xfId="0" applyFont="1" applyAlignment="1">
      <alignment horizontal="left" vertical="center"/>
    </xf>
    <xf numFmtId="38" fontId="0" fillId="0" borderId="0" xfId="0" applyNumberFormat="1" applyAlignment="1">
      <alignment vertical="center"/>
    </xf>
    <xf numFmtId="14" fontId="14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3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34" fillId="0" borderId="1" xfId="0" applyFont="1" applyBorder="1" applyAlignment="1" applyProtection="1">
      <alignment horizontal="center" vertical="center"/>
      <protection locked="0"/>
    </xf>
    <xf numFmtId="0" fontId="35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vertical="center"/>
    </xf>
    <xf numFmtId="0" fontId="34" fillId="0" borderId="2" xfId="0" applyFont="1" applyBorder="1" applyAlignment="1" applyProtection="1">
      <alignment horizontal="right" vertical="center"/>
      <protection locked="0"/>
    </xf>
    <xf numFmtId="0" fontId="33" fillId="0" borderId="3" xfId="0" applyFont="1" applyBorder="1" applyAlignment="1">
      <alignment vertical="center"/>
    </xf>
    <xf numFmtId="0" fontId="0" fillId="0" borderId="4" xfId="0" applyBorder="1" applyAlignment="1">
      <alignment horizontal="right"/>
    </xf>
    <xf numFmtId="0" fontId="3" fillId="0" borderId="5" xfId="0" applyFont="1" applyBorder="1" applyAlignment="1">
      <alignment horizontal="center"/>
    </xf>
    <xf numFmtId="169" fontId="36" fillId="0" borderId="6" xfId="0" applyNumberFormat="1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6" fillId="0" borderId="7" xfId="0" applyFont="1" applyBorder="1" applyAlignment="1">
      <alignment vertical="center"/>
    </xf>
    <xf numFmtId="0" fontId="34" fillId="0" borderId="7" xfId="0" applyFont="1" applyBorder="1" applyAlignment="1" applyProtection="1">
      <alignment horizontal="right" vertical="center"/>
      <protection locked="0"/>
    </xf>
    <xf numFmtId="0" fontId="33" fillId="0" borderId="8" xfId="0" applyFont="1" applyBorder="1" applyAlignment="1">
      <alignment vertical="center"/>
    </xf>
    <xf numFmtId="0" fontId="8" fillId="2" borderId="0" xfId="3" applyFont="1" applyFill="1" applyAlignment="1"/>
    <xf numFmtId="14" fontId="14" fillId="0" borderId="0" xfId="0" applyNumberFormat="1" applyFont="1" applyAlignment="1">
      <alignment horizontal="right"/>
    </xf>
    <xf numFmtId="0" fontId="0" fillId="3" borderId="0" xfId="0" applyFill="1"/>
    <xf numFmtId="169" fontId="9" fillId="0" borderId="0" xfId="3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170" fontId="9" fillId="0" borderId="0" xfId="0" applyNumberFormat="1" applyFont="1"/>
    <xf numFmtId="0" fontId="21" fillId="4" borderId="0" xfId="0" applyFont="1" applyFill="1" applyAlignment="1">
      <alignment vertical="center"/>
    </xf>
    <xf numFmtId="0" fontId="21" fillId="4" borderId="0" xfId="0" applyFont="1" applyFill="1" applyAlignment="1">
      <alignment horizontal="center"/>
    </xf>
    <xf numFmtId="0" fontId="22" fillId="4" borderId="0" xfId="0" applyFont="1" applyFill="1"/>
    <xf numFmtId="0" fontId="23" fillId="0" borderId="0" xfId="0" applyFont="1"/>
    <xf numFmtId="0" fontId="24" fillId="0" borderId="0" xfId="0" applyFont="1"/>
    <xf numFmtId="168" fontId="26" fillId="0" borderId="10" xfId="1" applyNumberFormat="1" applyFont="1" applyBorder="1" applyAlignment="1" applyProtection="1">
      <alignment horizontal="center"/>
    </xf>
    <xf numFmtId="168" fontId="26" fillId="0" borderId="0" xfId="1" applyNumberFormat="1" applyFont="1" applyBorder="1" applyAlignment="1" applyProtection="1">
      <alignment horizontal="center"/>
    </xf>
    <xf numFmtId="0" fontId="23" fillId="2" borderId="0" xfId="0" applyFont="1" applyFill="1"/>
    <xf numFmtId="0" fontId="0" fillId="2" borderId="0" xfId="0" applyFill="1"/>
    <xf numFmtId="0" fontId="27" fillId="0" borderId="1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1" fillId="4" borderId="18" xfId="0" applyFont="1" applyFill="1" applyBorder="1" applyAlignment="1">
      <alignment vertical="center"/>
    </xf>
    <xf numFmtId="0" fontId="21" fillId="4" borderId="10" xfId="0" applyFont="1" applyFill="1" applyBorder="1" applyAlignment="1">
      <alignment horizontal="center"/>
    </xf>
    <xf numFmtId="167" fontId="24" fillId="0" borderId="10" xfId="0" applyNumberFormat="1" applyFont="1" applyBorder="1" applyAlignment="1">
      <alignment horizontal="center"/>
    </xf>
    <xf numFmtId="167" fontId="24" fillId="0" borderId="0" xfId="0" applyNumberFormat="1" applyFont="1" applyAlignment="1">
      <alignment horizontal="center"/>
    </xf>
    <xf numFmtId="0" fontId="24" fillId="7" borderId="0" xfId="0" applyFont="1" applyFill="1"/>
    <xf numFmtId="168" fontId="24" fillId="7" borderId="10" xfId="0" applyNumberFormat="1" applyFont="1" applyFill="1" applyBorder="1" applyAlignment="1">
      <alignment horizontal="center"/>
    </xf>
    <xf numFmtId="0" fontId="23" fillId="7" borderId="0" xfId="0" applyFont="1" applyFill="1"/>
    <xf numFmtId="168" fontId="24" fillId="7" borderId="0" xfId="0" applyNumberFormat="1" applyFont="1" applyFill="1" applyAlignment="1">
      <alignment horizontal="center"/>
    </xf>
    <xf numFmtId="0" fontId="23" fillId="7" borderId="0" xfId="0" applyFont="1" applyFill="1" applyAlignment="1">
      <alignment wrapText="1"/>
    </xf>
    <xf numFmtId="168" fontId="24" fillId="7" borderId="10" xfId="0" applyNumberFormat="1" applyFont="1" applyFill="1" applyBorder="1" applyAlignment="1">
      <alignment horizontal="center" vertical="top"/>
    </xf>
    <xf numFmtId="0" fontId="23" fillId="7" borderId="0" xfId="0" applyFont="1" applyFill="1" applyAlignment="1">
      <alignment vertical="top"/>
    </xf>
    <xf numFmtId="168" fontId="24" fillId="7" borderId="0" xfId="0" applyNumberFormat="1" applyFont="1" applyFill="1" applyAlignment="1">
      <alignment horizontal="center" vertical="top"/>
    </xf>
    <xf numFmtId="168" fontId="24" fillId="2" borderId="10" xfId="0" applyNumberFormat="1" applyFont="1" applyFill="1" applyBorder="1" applyAlignment="1">
      <alignment horizontal="center"/>
    </xf>
    <xf numFmtId="168" fontId="24" fillId="2" borderId="0" xfId="0" applyNumberFormat="1" applyFont="1" applyFill="1" applyAlignment="1">
      <alignment horizontal="center"/>
    </xf>
    <xf numFmtId="164" fontId="23" fillId="0" borderId="10" xfId="0" applyNumberFormat="1" applyFont="1" applyBorder="1"/>
    <xf numFmtId="0" fontId="23" fillId="0" borderId="10" xfId="0" applyFont="1" applyBorder="1"/>
    <xf numFmtId="0" fontId="23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167" fontId="24" fillId="0" borderId="4" xfId="0" applyNumberFormat="1" applyFont="1" applyBorder="1" applyAlignment="1">
      <alignment horizontal="center"/>
    </xf>
    <xf numFmtId="167" fontId="24" fillId="0" borderId="5" xfId="0" applyNumberFormat="1" applyFont="1" applyBorder="1" applyAlignment="1">
      <alignment horizontal="center"/>
    </xf>
    <xf numFmtId="166" fontId="24" fillId="0" borderId="10" xfId="0" applyNumberFormat="1" applyFont="1" applyBorder="1" applyAlignment="1">
      <alignment horizontal="center"/>
    </xf>
    <xf numFmtId="166" fontId="24" fillId="0" borderId="4" xfId="0" applyNumberFormat="1" applyFont="1" applyBorder="1" applyAlignment="1">
      <alignment horizontal="center"/>
    </xf>
    <xf numFmtId="166" fontId="24" fillId="0" borderId="5" xfId="0" applyNumberFormat="1" applyFont="1" applyBorder="1" applyAlignment="1">
      <alignment horizontal="center"/>
    </xf>
    <xf numFmtId="167" fontId="23" fillId="0" borderId="10" xfId="0" applyNumberFormat="1" applyFont="1" applyBorder="1"/>
    <xf numFmtId="167" fontId="22" fillId="4" borderId="0" xfId="0" applyNumberFormat="1" applyFont="1" applyFill="1"/>
    <xf numFmtId="167" fontId="24" fillId="0" borderId="10" xfId="1" applyNumberFormat="1" applyFont="1" applyBorder="1" applyAlignment="1" applyProtection="1">
      <alignment horizontal="center"/>
    </xf>
    <xf numFmtId="167" fontId="23" fillId="0" borderId="0" xfId="0" applyNumberFormat="1" applyFont="1"/>
    <xf numFmtId="2" fontId="23" fillId="7" borderId="0" xfId="0" applyNumberFormat="1" applyFont="1" applyFill="1"/>
    <xf numFmtId="0" fontId="0" fillId="0" borderId="0" xfId="0" applyAlignment="1">
      <alignment vertical="top"/>
    </xf>
    <xf numFmtId="0" fontId="23" fillId="0" borderId="25" xfId="0" applyFont="1" applyBorder="1"/>
    <xf numFmtId="167" fontId="24" fillId="0" borderId="26" xfId="0" applyNumberFormat="1" applyFont="1" applyBorder="1" applyAlignment="1">
      <alignment horizontal="center"/>
    </xf>
    <xf numFmtId="0" fontId="38" fillId="0" borderId="4" xfId="0" applyFont="1" applyBorder="1" applyAlignment="1">
      <alignment horizontal="center" vertical="top" wrapText="1"/>
    </xf>
    <xf numFmtId="0" fontId="38" fillId="0" borderId="27" xfId="0" applyFont="1" applyBorder="1" applyAlignment="1">
      <alignment horizontal="center" vertical="top" wrapText="1"/>
    </xf>
    <xf numFmtId="171" fontId="24" fillId="0" borderId="26" xfId="0" applyNumberFormat="1" applyFont="1" applyBorder="1" applyAlignment="1">
      <alignment horizontal="center"/>
    </xf>
    <xf numFmtId="0" fontId="38" fillId="0" borderId="10" xfId="0" applyFont="1" applyBorder="1" applyAlignment="1">
      <alignment horizontal="center" vertical="top" wrapText="1"/>
    </xf>
    <xf numFmtId="0" fontId="25" fillId="5" borderId="16" xfId="0" applyFont="1" applyFill="1" applyBorder="1" applyAlignment="1" applyProtection="1">
      <alignment horizontal="center" wrapText="1"/>
      <protection locked="0"/>
    </xf>
    <xf numFmtId="0" fontId="23" fillId="0" borderId="0" xfId="0" applyFont="1" applyProtection="1">
      <protection locked="0"/>
    </xf>
    <xf numFmtId="166" fontId="25" fillId="0" borderId="19" xfId="1" applyNumberFormat="1" applyFont="1" applyBorder="1" applyAlignment="1" applyProtection="1">
      <alignment horizontal="center"/>
      <protection locked="0"/>
    </xf>
    <xf numFmtId="166" fontId="25" fillId="0" borderId="0" xfId="1" applyNumberFormat="1" applyFont="1" applyBorder="1" applyAlignment="1" applyProtection="1">
      <alignment horizontal="center"/>
      <protection locked="0"/>
    </xf>
    <xf numFmtId="3" fontId="25" fillId="0" borderId="10" xfId="0" applyNumberFormat="1" applyFont="1" applyBorder="1" applyAlignment="1" applyProtection="1">
      <alignment horizontal="center"/>
      <protection locked="0"/>
    </xf>
    <xf numFmtId="3" fontId="25" fillId="0" borderId="0" xfId="0" applyNumberFormat="1" applyFont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2" borderId="10" xfId="0" applyFont="1" applyFill="1" applyBorder="1" applyAlignment="1" applyProtection="1">
      <alignment horizontal="center"/>
      <protection locked="0"/>
    </xf>
    <xf numFmtId="0" fontId="23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center"/>
      <protection locked="0"/>
    </xf>
    <xf numFmtId="0" fontId="25" fillId="0" borderId="4" xfId="0" applyFont="1" applyBorder="1" applyAlignment="1" applyProtection="1">
      <alignment horizontal="center"/>
      <protection locked="0"/>
    </xf>
    <xf numFmtId="0" fontId="25" fillId="0" borderId="5" xfId="0" applyFont="1" applyBorder="1" applyAlignment="1" applyProtection="1">
      <alignment horizontal="center"/>
      <protection locked="0"/>
    </xf>
    <xf numFmtId="168" fontId="24" fillId="0" borderId="10" xfId="0" applyNumberFormat="1" applyFont="1" applyBorder="1" applyAlignment="1">
      <alignment horizontal="center"/>
    </xf>
    <xf numFmtId="168" fontId="24" fillId="0" borderId="0" xfId="0" applyNumberFormat="1" applyFont="1" applyAlignment="1">
      <alignment horizontal="center"/>
    </xf>
    <xf numFmtId="2" fontId="23" fillId="0" borderId="0" xfId="0" applyNumberFormat="1" applyFont="1"/>
    <xf numFmtId="0" fontId="20" fillId="0" borderId="4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172" fontId="24" fillId="7" borderId="10" xfId="0" applyNumberFormat="1" applyFont="1" applyFill="1" applyBorder="1" applyAlignment="1">
      <alignment horizontal="center"/>
    </xf>
    <xf numFmtId="172" fontId="24" fillId="7" borderId="10" xfId="0" applyNumberFormat="1" applyFont="1" applyFill="1" applyBorder="1" applyAlignment="1">
      <alignment horizontal="center" vertical="top"/>
    </xf>
    <xf numFmtId="172" fontId="23" fillId="0" borderId="10" xfId="1" applyNumberFormat="1" applyFont="1" applyBorder="1" applyAlignment="1" applyProtection="1">
      <alignment horizontal="center"/>
    </xf>
    <xf numFmtId="172" fontId="24" fillId="7" borderId="0" xfId="0" applyNumberFormat="1" applyFont="1" applyFill="1" applyAlignment="1">
      <alignment horizontal="center"/>
    </xf>
    <xf numFmtId="172" fontId="24" fillId="7" borderId="0" xfId="0" applyNumberFormat="1" applyFont="1" applyFill="1" applyAlignment="1">
      <alignment horizontal="center" vertical="top"/>
    </xf>
    <xf numFmtId="0" fontId="8" fillId="0" borderId="0" xfId="0" applyFont="1"/>
    <xf numFmtId="0" fontId="35" fillId="0" borderId="0" xfId="0" applyFont="1"/>
    <xf numFmtId="169" fontId="0" fillId="0" borderId="0" xfId="0" applyNumberFormat="1"/>
    <xf numFmtId="166" fontId="0" fillId="0" borderId="0" xfId="0" applyNumberFormat="1"/>
    <xf numFmtId="166" fontId="39" fillId="0" borderId="0" xfId="6" applyFont="1">
      <alignment vertical="top"/>
    </xf>
    <xf numFmtId="0" fontId="24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66" fontId="25" fillId="0" borderId="22" xfId="1" applyNumberFormat="1" applyFont="1" applyBorder="1" applyAlignment="1" applyProtection="1">
      <alignment horizontal="center"/>
      <protection locked="0"/>
    </xf>
    <xf numFmtId="166" fontId="25" fillId="0" borderId="24" xfId="1" applyNumberFormat="1" applyFont="1" applyBorder="1" applyAlignment="1" applyProtection="1">
      <alignment horizontal="center"/>
      <protection locked="0"/>
    </xf>
    <xf numFmtId="166" fontId="25" fillId="0" borderId="23" xfId="1" applyNumberFormat="1" applyFont="1" applyBorder="1" applyAlignment="1" applyProtection="1">
      <alignment horizontal="center"/>
      <protection locked="0"/>
    </xf>
    <xf numFmtId="0" fontId="25" fillId="0" borderId="20" xfId="0" applyFont="1" applyBorder="1" applyAlignment="1" applyProtection="1">
      <alignment horizontal="center"/>
      <protection locked="0"/>
    </xf>
    <xf numFmtId="0" fontId="25" fillId="0" borderId="17" xfId="0" applyFont="1" applyBorder="1" applyAlignment="1" applyProtection="1">
      <alignment horizontal="center"/>
      <protection locked="0"/>
    </xf>
    <xf numFmtId="0" fontId="25" fillId="0" borderId="21" xfId="0" applyFont="1" applyBorder="1" applyAlignment="1" applyProtection="1">
      <alignment horizontal="center"/>
      <protection locked="0"/>
    </xf>
    <xf numFmtId="3" fontId="24" fillId="0" borderId="20" xfId="0" applyNumberFormat="1" applyFont="1" applyBorder="1" applyAlignment="1">
      <alignment horizontal="center"/>
    </xf>
    <xf numFmtId="3" fontId="24" fillId="0" borderId="17" xfId="0" applyNumberFormat="1" applyFont="1" applyBorder="1" applyAlignment="1">
      <alignment horizontal="center"/>
    </xf>
    <xf numFmtId="3" fontId="24" fillId="0" borderId="21" xfId="0" applyNumberFormat="1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6" borderId="6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3" fontId="25" fillId="0" borderId="20" xfId="0" applyNumberFormat="1" applyFont="1" applyBorder="1" applyAlignment="1" applyProtection="1">
      <alignment horizontal="center"/>
      <protection locked="0"/>
    </xf>
    <xf numFmtId="3" fontId="25" fillId="0" borderId="21" xfId="0" applyNumberFormat="1" applyFont="1" applyBorder="1" applyAlignment="1" applyProtection="1">
      <alignment horizontal="center"/>
      <protection locked="0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</cellXfs>
  <cellStyles count="8">
    <cellStyle name="Comma" xfId="2" builtinId="3"/>
    <cellStyle name="Currency" xfId="1" builtinId="4"/>
    <cellStyle name="Hyperlink" xfId="5" builtinId="8"/>
    <cellStyle name="Normal" xfId="0" builtinId="0"/>
    <cellStyle name="Normal 2" xfId="3" xr:uid="{00000000-0005-0000-0000-000004000000}"/>
    <cellStyle name="Normal 3" xfId="4" xr:uid="{00000000-0005-0000-0000-000005000000}"/>
    <cellStyle name="Normal_Farrow-Wean 500" xfId="6" xr:uid="{00000000-0005-0000-0000-000006000000}"/>
    <cellStyle name="Normal_Farrow-Wean 500 2" xfId="7" xr:uid="{00000000-0005-0000-0000-000007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mb.ca/agriculture/farm-management/farm-business-management-contacts.html" TargetMode="External"/><Relationship Id="rId2" Type="http://schemas.openxmlformats.org/officeDocument/2006/relationships/hyperlink" Target="http://www.gov.mb.ca/agriculture/business-and-economics/farm-business-management-contacts.html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mb.ca/agriculture/farm-management/farm-business-management-contacts.html" TargetMode="External"/><Relationship Id="rId2" Type="http://schemas.openxmlformats.org/officeDocument/2006/relationships/hyperlink" Target="http://www.gov.mb.ca/agriculture/business-and-economics/farm-business-management-contacts.html" TargetMode="External"/><Relationship Id="rId1" Type="http://schemas.openxmlformats.org/officeDocument/2006/relationships/image" Target="../media/image1.jpeg"/><Relationship Id="rId4" Type="http://schemas.openxmlformats.org/officeDocument/2006/relationships/hyperlink" Target="http://www.gov.mb.ca/agriculture/contact/index.html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v.mb.ca/agriculture/contact/index.html" TargetMode="External"/><Relationship Id="rId2" Type="http://schemas.openxmlformats.org/officeDocument/2006/relationships/hyperlink" Target="https://www.gov.mb.ca/agriculture/farm-management/farm-business-management-contacts.html" TargetMode="External"/><Relationship Id="rId1" Type="http://schemas.openxmlformats.org/officeDocument/2006/relationships/hyperlink" Target="http://www.gov.mb.ca/agriculture/business-and-economics/farm-business-management-contacts.html" TargetMode="Externa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18</xdr:row>
      <xdr:rowOff>104775</xdr:rowOff>
    </xdr:from>
    <xdr:to>
      <xdr:col>7</xdr:col>
      <xdr:colOff>590550</xdr:colOff>
      <xdr:row>18</xdr:row>
      <xdr:rowOff>104775</xdr:rowOff>
    </xdr:to>
    <xdr:cxnSp macro="">
      <xdr:nvCxnSpPr>
        <xdr:cNvPr id="9" name="Straight Arrow Connector 8" descr="Arrow pointing at Price per pound row.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7734300" y="4886325"/>
          <a:ext cx="56197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590550</xdr:colOff>
      <xdr:row>18</xdr:row>
      <xdr:rowOff>104775</xdr:rowOff>
    </xdr:from>
    <xdr:to>
      <xdr:col>8</xdr:col>
      <xdr:colOff>9525</xdr:colOff>
      <xdr:row>35</xdr:row>
      <xdr:rowOff>104775</xdr:rowOff>
    </xdr:to>
    <xdr:cxnSp macro="">
      <xdr:nvCxnSpPr>
        <xdr:cNvPr id="12" name="Straight Connector 11" descr="line leading to an arrow pointing at Price per pound row.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8296275" y="4886325"/>
          <a:ext cx="28575" cy="3743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35</xdr:row>
      <xdr:rowOff>85725</xdr:rowOff>
    </xdr:from>
    <xdr:to>
      <xdr:col>8</xdr:col>
      <xdr:colOff>9525</xdr:colOff>
      <xdr:row>35</xdr:row>
      <xdr:rowOff>95250</xdr:rowOff>
    </xdr:to>
    <xdr:cxnSp macro="">
      <xdr:nvCxnSpPr>
        <xdr:cNvPr id="15" name="Straight Arrow Connector 14" descr="Line leading to an arrow pointing at Price per pound row.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6705600" y="6391275"/>
          <a:ext cx="590550" cy="95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209550</xdr:colOff>
      <xdr:row>0</xdr:row>
      <xdr:rowOff>161925</xdr:rowOff>
    </xdr:from>
    <xdr:to>
      <xdr:col>6</xdr:col>
      <xdr:colOff>971550</xdr:colOff>
      <xdr:row>1</xdr:row>
      <xdr:rowOff>152400</xdr:rowOff>
    </xdr:to>
    <xdr:pic>
      <xdr:nvPicPr>
        <xdr:cNvPr id="17" name="Picture 2" descr="Government of Manitoba logo.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1925"/>
          <a:ext cx="1809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1476373</xdr:colOff>
      <xdr:row>44</xdr:row>
      <xdr:rowOff>76198</xdr:rowOff>
    </xdr:from>
    <xdr:to>
      <xdr:col>3</xdr:col>
      <xdr:colOff>381000</xdr:colOff>
      <xdr:row>45</xdr:row>
      <xdr:rowOff>0</xdr:rowOff>
    </xdr:to>
    <xdr:sp macro="" textlink="">
      <xdr:nvSpPr>
        <xdr:cNvPr id="20" name="TextBox 19">
          <a:hlinkClick xmlns:r="http://schemas.openxmlformats.org/officeDocument/2006/relationships" r:id="rId2" tooltip="Click here for list of MAFRD Farm Management Contacts"/>
          <a:extLst>
            <a:ext uri="{FF2B5EF4-FFF2-40B4-BE49-F238E27FC236}">
              <a16:creationId xmlns:a16="http://schemas.microsoft.com/office/drawing/2014/main" id="{00000000-0008-0000-00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/>
      </xdr:nvSpPr>
      <xdr:spPr>
        <a:xfrm>
          <a:off x="1657348" y="13477873"/>
          <a:ext cx="1914527" cy="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/>
  </xdr:twoCellAnchor>
  <xdr:twoCellAnchor editAs="oneCell">
    <xdr:from>
      <xdr:col>0</xdr:col>
      <xdr:colOff>2314575</xdr:colOff>
      <xdr:row>46</xdr:row>
      <xdr:rowOff>123825</xdr:rowOff>
    </xdr:from>
    <xdr:to>
      <xdr:col>5</xdr:col>
      <xdr:colOff>248528</xdr:colOff>
      <xdr:row>50</xdr:row>
      <xdr:rowOff>26278</xdr:rowOff>
    </xdr:to>
    <xdr:pic>
      <xdr:nvPicPr>
        <xdr:cNvPr id="11" name="Picture 5" descr="Contact Us information including a link to Farm Management Specialists listing.">
          <a:hlinkClick xmlns:r="http://schemas.openxmlformats.org/officeDocument/2006/relationships" r:id="rId3" tooltip="Click here for a list of Farm Management contacts.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13182600"/>
          <a:ext cx="3753728" cy="807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18</xdr:row>
      <xdr:rowOff>104775</xdr:rowOff>
    </xdr:from>
    <xdr:to>
      <xdr:col>7</xdr:col>
      <xdr:colOff>590550</xdr:colOff>
      <xdr:row>18</xdr:row>
      <xdr:rowOff>104775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7943850" y="4733925"/>
          <a:ext cx="56197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590550</xdr:colOff>
      <xdr:row>18</xdr:row>
      <xdr:rowOff>104775</xdr:rowOff>
    </xdr:from>
    <xdr:to>
      <xdr:col>8</xdr:col>
      <xdr:colOff>9525</xdr:colOff>
      <xdr:row>35</xdr:row>
      <xdr:rowOff>104775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8505825" y="4733925"/>
          <a:ext cx="28575" cy="40862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35</xdr:row>
      <xdr:rowOff>85725</xdr:rowOff>
    </xdr:from>
    <xdr:to>
      <xdr:col>8</xdr:col>
      <xdr:colOff>9525</xdr:colOff>
      <xdr:row>35</xdr:row>
      <xdr:rowOff>95250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7943850" y="8801100"/>
          <a:ext cx="590550" cy="95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209550</xdr:colOff>
      <xdr:row>0</xdr:row>
      <xdr:rowOff>161925</xdr:rowOff>
    </xdr:from>
    <xdr:to>
      <xdr:col>6</xdr:col>
      <xdr:colOff>971550</xdr:colOff>
      <xdr:row>1</xdr:row>
      <xdr:rowOff>152400</xdr:rowOff>
    </xdr:to>
    <xdr:pic>
      <xdr:nvPicPr>
        <xdr:cNvPr id="5" name="Picture 2" descr="GovMB_Logo_blk10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61925"/>
          <a:ext cx="1809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1476373</xdr:colOff>
      <xdr:row>47</xdr:row>
      <xdr:rowOff>76198</xdr:rowOff>
    </xdr:from>
    <xdr:to>
      <xdr:col>3</xdr:col>
      <xdr:colOff>381000</xdr:colOff>
      <xdr:row>48</xdr:row>
      <xdr:rowOff>0</xdr:rowOff>
    </xdr:to>
    <xdr:sp macro="" textlink="">
      <xdr:nvSpPr>
        <xdr:cNvPr id="6" name="TextBox 5">
          <a:hlinkClick xmlns:r="http://schemas.openxmlformats.org/officeDocument/2006/relationships" r:id="rId2" tooltip="Click here for list of MAFRD Farm Management Contacts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505198" y="14563723"/>
          <a:ext cx="1266827" cy="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/>
  </xdr:twoCellAnchor>
  <xdr:twoCellAnchor>
    <xdr:from>
      <xdr:col>0</xdr:col>
      <xdr:colOff>1791758</xdr:colOff>
      <xdr:row>47</xdr:row>
      <xdr:rowOff>57150</xdr:rowOff>
    </xdr:from>
    <xdr:to>
      <xdr:col>3</xdr:col>
      <xdr:colOff>127267</xdr:colOff>
      <xdr:row>49</xdr:row>
      <xdr:rowOff>80964</xdr:rowOff>
    </xdr:to>
    <xdr:sp macro="" textlink="">
      <xdr:nvSpPr>
        <xdr:cNvPr id="7" name="TextBox 6">
          <a:hlinkClick xmlns:r="http://schemas.openxmlformats.org/officeDocument/2006/relationships" r:id="rId3" tooltip="Click here for list of Manitoba Agriculture Farm Management Contacts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791758" y="14544675"/>
          <a:ext cx="2888459" cy="290514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CA" sz="1000" b="1" i="0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Arial" pitchFamily="34" charset="0"/>
              <a:cs typeface="Arial" pitchFamily="34" charset="0"/>
            </a:rPr>
            <a:t>Manitoba Agriculture Farm Management</a:t>
          </a:r>
          <a:endParaRPr lang="en-CA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374121</xdr:colOff>
      <xdr:row>48</xdr:row>
      <xdr:rowOff>169069</xdr:rowOff>
    </xdr:from>
    <xdr:to>
      <xdr:col>5</xdr:col>
      <xdr:colOff>446353</xdr:colOff>
      <xdr:row>50</xdr:row>
      <xdr:rowOff>16669</xdr:rowOff>
    </xdr:to>
    <xdr:sp macro="" textlink="">
      <xdr:nvSpPr>
        <xdr:cNvPr id="8" name="TextBox 7">
          <a:hlinkClick xmlns:r="http://schemas.openxmlformats.org/officeDocument/2006/relationships" r:id="rId4" tooltip="Click here for list of Manitoba Agriculture office locations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831571" y="14732794"/>
          <a:ext cx="3434557" cy="2286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CA" sz="1000" b="1" i="0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Arial" pitchFamily="34" charset="0"/>
              <a:cs typeface="Arial" pitchFamily="34" charset="0"/>
            </a:rPr>
            <a:t>Manitoba Agriculture office </a:t>
          </a:r>
          <a:r>
            <a:rPr lang="en-CA" sz="1100" b="1">
              <a:latin typeface="Arial" pitchFamily="34" charset="0"/>
              <a:cs typeface="Arial" pitchFamily="34" charset="0"/>
            </a:rPr>
            <a:t>or: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1476373</xdr:colOff>
      <xdr:row>24</xdr:row>
      <xdr:rowOff>76198</xdr:rowOff>
    </xdr:from>
    <xdr:to>
      <xdr:col>5</xdr:col>
      <xdr:colOff>381000</xdr:colOff>
      <xdr:row>25</xdr:row>
      <xdr:rowOff>0</xdr:rowOff>
    </xdr:to>
    <xdr:sp macro="" textlink="">
      <xdr:nvSpPr>
        <xdr:cNvPr id="2" name="TextBox 1">
          <a:hlinkClick xmlns:r="http://schemas.openxmlformats.org/officeDocument/2006/relationships" r:id="rId1" tooltip="Click here for list of MAFRD Farm Management Contacts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295648" y="12953998"/>
          <a:ext cx="1266827" cy="2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/>
  </xdr:twoCellAnchor>
  <xdr:twoCellAnchor>
    <xdr:from>
      <xdr:col>2</xdr:col>
      <xdr:colOff>162983</xdr:colOff>
      <xdr:row>24</xdr:row>
      <xdr:rowOff>47625</xdr:rowOff>
    </xdr:from>
    <xdr:to>
      <xdr:col>5</xdr:col>
      <xdr:colOff>813067</xdr:colOff>
      <xdr:row>26</xdr:row>
      <xdr:rowOff>19050</xdr:rowOff>
    </xdr:to>
    <xdr:sp macro="" textlink="">
      <xdr:nvSpPr>
        <xdr:cNvPr id="3" name="TextBox 2">
          <a:hlinkClick xmlns:r="http://schemas.openxmlformats.org/officeDocument/2006/relationships" r:id="rId2" tooltip="Click here for list of Manitoba Agriculture Farm Management Contacts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734608" y="5743575"/>
          <a:ext cx="2850359" cy="23812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CA" sz="1000" b="1" i="0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Arial" pitchFamily="34" charset="0"/>
              <a:cs typeface="Arial" pitchFamily="34" charset="0"/>
            </a:rPr>
            <a:t>Manitoba Agriculture Farm Management</a:t>
          </a:r>
          <a:endParaRPr lang="en-CA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964671</xdr:colOff>
      <xdr:row>25</xdr:row>
      <xdr:rowOff>169069</xdr:rowOff>
    </xdr:from>
    <xdr:to>
      <xdr:col>6</xdr:col>
      <xdr:colOff>579703</xdr:colOff>
      <xdr:row>27</xdr:row>
      <xdr:rowOff>16669</xdr:rowOff>
    </xdr:to>
    <xdr:sp macro="" textlink="">
      <xdr:nvSpPr>
        <xdr:cNvPr id="4" name="TextBox 3">
          <a:hlinkClick xmlns:r="http://schemas.openxmlformats.org/officeDocument/2006/relationships" r:id="rId3" tooltip="Click here for list of Manitoba Agriculture office locations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536296" y="5941219"/>
          <a:ext cx="2863057" cy="2286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CA" sz="1000" b="1" i="0" u="sng" baseline="0"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Arial" pitchFamily="34" charset="0"/>
              <a:cs typeface="Arial" pitchFamily="34" charset="0"/>
            </a:rPr>
            <a:t>Manitoba Agriculture office </a:t>
          </a:r>
          <a:r>
            <a:rPr lang="en-CA" sz="1100" b="1">
              <a:latin typeface="Arial" pitchFamily="34" charset="0"/>
              <a:cs typeface="Arial" pitchFamily="34" charset="0"/>
            </a:rPr>
            <a:t>or:</a:t>
          </a:r>
        </a:p>
      </xdr:txBody>
    </xdr:sp>
    <xdr:clientData/>
  </xdr:twoCellAnchor>
  <xdr:twoCellAnchor>
    <xdr:from>
      <xdr:col>6</xdr:col>
      <xdr:colOff>57150</xdr:colOff>
      <xdr:row>0</xdr:row>
      <xdr:rowOff>152400</xdr:rowOff>
    </xdr:from>
    <xdr:to>
      <xdr:col>7</xdr:col>
      <xdr:colOff>752475</xdr:colOff>
      <xdr:row>1</xdr:row>
      <xdr:rowOff>142875</xdr:rowOff>
    </xdr:to>
    <xdr:pic>
      <xdr:nvPicPr>
        <xdr:cNvPr id="5" name="Picture 2" descr="GovMB_Logo_blk10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52400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681035</xdr:colOff>
      <xdr:row>10</xdr:row>
      <xdr:rowOff>95251</xdr:rowOff>
    </xdr:from>
    <xdr:to>
      <xdr:col>4</xdr:col>
      <xdr:colOff>266699</xdr:colOff>
      <xdr:row>16</xdr:row>
      <xdr:rowOff>138115</xdr:rowOff>
    </xdr:to>
    <xdr:sp macro="" textlink="">
      <xdr:nvSpPr>
        <xdr:cNvPr id="23" name="Right Arrow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 rot="5400000">
          <a:off x="2390773" y="2614613"/>
          <a:ext cx="1185864" cy="1462089"/>
        </a:xfrm>
        <a:prstGeom prst="rightArrow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1152525</xdr:colOff>
      <xdr:row>12</xdr:row>
      <xdr:rowOff>38100</xdr:rowOff>
    </xdr:from>
    <xdr:to>
      <xdr:col>3</xdr:col>
      <xdr:colOff>133350</xdr:colOff>
      <xdr:row>15</xdr:row>
      <xdr:rowOff>38100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2724150" y="2971800"/>
          <a:ext cx="571500" cy="5715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600" b="1">
              <a:solidFill>
                <a:schemeClr val="tx1"/>
              </a:solidFill>
              <a:latin typeface="Arial Narrow" panose="020B0606020202030204" pitchFamily="34" charset="0"/>
            </a:rPr>
            <a:t>=</a:t>
          </a:r>
          <a:r>
            <a:rPr lang="en-US" sz="2400" b="1">
              <a:solidFill>
                <a:schemeClr val="bg1"/>
              </a:solidFill>
              <a:latin typeface="Arial Narrow" panose="020B0606020202030204" pitchFamily="34" charset="0"/>
            </a:rPr>
            <a:t> </a:t>
          </a:r>
          <a:endParaRPr lang="en-US" sz="2400" baseline="0">
            <a:solidFill>
              <a:schemeClr val="bg1"/>
            </a:solidFill>
            <a:latin typeface="Arial Narrow" panose="020B0606020202030204" pitchFamily="34" charset="0"/>
          </a:endParaRPr>
        </a:p>
        <a:p>
          <a:endParaRPr lang="en-US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greg.fedak@gov.mb.ca" TargetMode="External"/><Relationship Id="rId2" Type="http://schemas.openxmlformats.org/officeDocument/2006/relationships/hyperlink" Target="mailto:Benjamin.Hamm@gov.mb.ca" TargetMode="External"/><Relationship Id="rId1" Type="http://schemas.openxmlformats.org/officeDocument/2006/relationships/hyperlink" Target="mailto:roy.arnott@gov.mb.ca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greg.fedak@gov.mb.ca" TargetMode="External"/><Relationship Id="rId2" Type="http://schemas.openxmlformats.org/officeDocument/2006/relationships/hyperlink" Target="mailto:Benjamin.Hamm@gov.mb.ca" TargetMode="External"/><Relationship Id="rId1" Type="http://schemas.openxmlformats.org/officeDocument/2006/relationships/hyperlink" Target="mailto:roy.arnott@gov.mb.ca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9"/>
  <sheetViews>
    <sheetView tabSelected="1" zoomScaleNormal="100" workbookViewId="0"/>
  </sheetViews>
  <sheetFormatPr defaultRowHeight="14.4" x14ac:dyDescent="0.3"/>
  <cols>
    <col min="1" max="1" width="36.88671875" customWidth="1"/>
    <col min="2" max="3" width="15.6640625" customWidth="1"/>
    <col min="4" max="4" width="3.33203125" customWidth="1"/>
    <col min="5" max="7" width="15.6640625" customWidth="1"/>
    <col min="9" max="9" width="12" customWidth="1"/>
    <col min="11" max="23" width="0" hidden="1" customWidth="1"/>
  </cols>
  <sheetData>
    <row r="1" spans="1:23" ht="27" customHeight="1" x14ac:dyDescent="0.3">
      <c r="A1" s="58"/>
      <c r="B1" s="58"/>
      <c r="C1" s="59"/>
      <c r="D1" s="59"/>
      <c r="E1" s="59"/>
      <c r="F1" s="59"/>
    </row>
    <row r="2" spans="1:23" ht="27.6" x14ac:dyDescent="0.45">
      <c r="A2" s="60" t="s">
        <v>87</v>
      </c>
      <c r="B2" s="58"/>
      <c r="C2" s="59"/>
      <c r="D2" s="59"/>
      <c r="E2" s="59"/>
      <c r="F2" s="59"/>
    </row>
    <row r="3" spans="1:23" s="63" customFormat="1" ht="20.25" customHeight="1" x14ac:dyDescent="0.3">
      <c r="A3" s="61" t="s">
        <v>109</v>
      </c>
      <c r="B3" s="79"/>
      <c r="C3" s="79"/>
      <c r="D3" s="79"/>
      <c r="F3" s="62" t="s">
        <v>88</v>
      </c>
      <c r="G3" s="80">
        <f ca="1">TODAY()</f>
        <v>45566</v>
      </c>
      <c r="H3" s="101"/>
      <c r="K3" s="102" t="s">
        <v>82</v>
      </c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</row>
    <row r="4" spans="1:23" s="58" customFormat="1" ht="15.6" x14ac:dyDescent="0.3">
      <c r="A4" s="81"/>
      <c r="C4" s="82" t="s">
        <v>89</v>
      </c>
      <c r="K4" s="102"/>
      <c r="L4" s="56" t="s">
        <v>70</v>
      </c>
      <c r="M4"/>
      <c r="N4"/>
      <c r="O4" s="53"/>
      <c r="P4" s="53"/>
      <c r="Q4" s="54" t="s">
        <v>70</v>
      </c>
      <c r="R4" s="54" t="s">
        <v>71</v>
      </c>
      <c r="S4" s="54" t="s">
        <v>72</v>
      </c>
      <c r="T4" s="55" t="s">
        <v>66</v>
      </c>
      <c r="U4" s="55" t="s">
        <v>67</v>
      </c>
      <c r="V4" s="54" t="s">
        <v>68</v>
      </c>
      <c r="W4" s="102"/>
    </row>
    <row r="5" spans="1:23" ht="15.6" x14ac:dyDescent="0.3">
      <c r="A5" s="3"/>
      <c r="K5" s="102"/>
      <c r="L5" s="56" t="s">
        <v>71</v>
      </c>
      <c r="O5" s="53" t="s">
        <v>62</v>
      </c>
      <c r="P5" s="53"/>
      <c r="Q5" s="103">
        <v>11.1</v>
      </c>
      <c r="R5" s="103">
        <v>8.6999999999999993</v>
      </c>
      <c r="S5" s="103">
        <v>14.6</v>
      </c>
      <c r="T5" s="104">
        <v>14</v>
      </c>
      <c r="U5" s="105">
        <v>18.2</v>
      </c>
      <c r="V5" s="103">
        <v>9.9</v>
      </c>
      <c r="W5" s="102"/>
    </row>
    <row r="6" spans="1:23" ht="20.25" customHeight="1" x14ac:dyDescent="0.3">
      <c r="A6" s="106" t="s">
        <v>83</v>
      </c>
      <c r="B6" s="107"/>
      <c r="C6" s="107"/>
      <c r="D6" s="108"/>
      <c r="E6" s="107"/>
      <c r="F6" s="107"/>
      <c r="G6" s="107"/>
      <c r="K6" s="102"/>
      <c r="L6" s="56" t="s">
        <v>72</v>
      </c>
      <c r="O6" s="53" t="s">
        <v>63</v>
      </c>
      <c r="P6" s="53"/>
      <c r="Q6" s="103">
        <v>62.8</v>
      </c>
      <c r="R6" s="103">
        <v>64.599999999999994</v>
      </c>
      <c r="S6" s="103">
        <v>60.4</v>
      </c>
      <c r="T6" s="104">
        <v>60</v>
      </c>
      <c r="U6" s="105">
        <v>61.5</v>
      </c>
      <c r="V6" s="103">
        <v>58.4</v>
      </c>
      <c r="W6" s="102"/>
    </row>
    <row r="7" spans="1:23" ht="20.25" customHeight="1" thickBot="1" x14ac:dyDescent="0.35">
      <c r="A7" s="109"/>
      <c r="B7" s="193" t="s">
        <v>56</v>
      </c>
      <c r="C7" s="194"/>
      <c r="D7" s="109"/>
      <c r="E7" s="193" t="s">
        <v>48</v>
      </c>
      <c r="F7" s="195"/>
      <c r="G7" s="194"/>
      <c r="K7" s="102"/>
      <c r="L7" s="57" t="s">
        <v>66</v>
      </c>
      <c r="O7" s="53" t="s">
        <v>64</v>
      </c>
      <c r="P7" s="53"/>
      <c r="Q7" s="103">
        <v>63.2</v>
      </c>
      <c r="R7" s="103">
        <v>71.2</v>
      </c>
      <c r="S7" s="103">
        <v>56.8</v>
      </c>
      <c r="T7" s="104">
        <v>12.6</v>
      </c>
      <c r="U7" s="105">
        <v>12.1</v>
      </c>
      <c r="V7" s="103">
        <v>14.2</v>
      </c>
      <c r="W7" s="102"/>
    </row>
    <row r="8" spans="1:23" ht="38.25" customHeight="1" thickBot="1" x14ac:dyDescent="0.35">
      <c r="A8" s="110" t="s">
        <v>65</v>
      </c>
      <c r="B8" s="152" t="s">
        <v>67</v>
      </c>
      <c r="C8" s="152" t="s">
        <v>66</v>
      </c>
      <c r="D8" s="153"/>
      <c r="E8" s="152" t="s">
        <v>71</v>
      </c>
      <c r="F8" s="152" t="s">
        <v>70</v>
      </c>
      <c r="G8" s="152" t="s">
        <v>72</v>
      </c>
      <c r="K8" s="102"/>
      <c r="L8" s="57" t="s">
        <v>67</v>
      </c>
      <c r="W8" s="102"/>
    </row>
    <row r="9" spans="1:23" ht="18" customHeight="1" x14ac:dyDescent="0.3">
      <c r="A9" s="109" t="s">
        <v>59</v>
      </c>
      <c r="B9" s="154">
        <v>155</v>
      </c>
      <c r="C9" s="154">
        <v>115</v>
      </c>
      <c r="D9" s="153"/>
      <c r="E9" s="154">
        <v>45</v>
      </c>
      <c r="F9" s="155">
        <v>55</v>
      </c>
      <c r="G9" s="154">
        <v>55</v>
      </c>
      <c r="K9" s="102"/>
      <c r="L9" s="56" t="s">
        <v>68</v>
      </c>
      <c r="W9" s="102"/>
    </row>
    <row r="10" spans="1:23" ht="18" customHeight="1" x14ac:dyDescent="0.3">
      <c r="A10" s="109" t="s">
        <v>51</v>
      </c>
      <c r="B10" s="156">
        <v>2000</v>
      </c>
      <c r="C10" s="156">
        <v>2000</v>
      </c>
      <c r="D10" s="153"/>
      <c r="E10" s="156">
        <v>2000</v>
      </c>
      <c r="F10" s="157">
        <v>2000</v>
      </c>
      <c r="G10" s="156">
        <v>2000</v>
      </c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</row>
    <row r="11" spans="1:23" ht="18" customHeight="1" x14ac:dyDescent="0.3">
      <c r="A11" s="110" t="s">
        <v>90</v>
      </c>
      <c r="B11" s="111">
        <f>B9/B10</f>
        <v>7.7499999999999999E-2</v>
      </c>
      <c r="C11" s="111">
        <f>C9/C10</f>
        <v>5.7500000000000002E-2</v>
      </c>
      <c r="D11" s="109"/>
      <c r="E11" s="111">
        <f t="shared" ref="E11:G11" si="0">E9/E10</f>
        <v>2.2499999999999999E-2</v>
      </c>
      <c r="F11" s="112">
        <f t="shared" si="0"/>
        <v>2.75E-2</v>
      </c>
      <c r="G11" s="111">
        <f t="shared" si="0"/>
        <v>2.75E-2</v>
      </c>
    </row>
    <row r="12" spans="1:23" ht="18" customHeight="1" x14ac:dyDescent="0.3">
      <c r="A12" s="109" t="s">
        <v>69</v>
      </c>
      <c r="B12" s="158">
        <v>15</v>
      </c>
      <c r="C12" s="158">
        <v>12</v>
      </c>
      <c r="D12" s="153"/>
      <c r="E12" s="158">
        <v>60</v>
      </c>
      <c r="F12" s="159">
        <v>50</v>
      </c>
      <c r="G12" s="158">
        <v>50</v>
      </c>
    </row>
    <row r="13" spans="1:23" s="114" customFormat="1" ht="18" hidden="1" customHeight="1" x14ac:dyDescent="0.3">
      <c r="A13" s="100" t="s">
        <v>63</v>
      </c>
      <c r="B13" s="160">
        <f>HLOOKUP(B8,$Q$4:$V$7,3,FALSE)</f>
        <v>61.5</v>
      </c>
      <c r="C13" s="160">
        <f>HLOOKUP(C8,$Q$4:$V$7,3,FALSE)</f>
        <v>60</v>
      </c>
      <c r="D13" s="161"/>
      <c r="E13" s="160">
        <f>HLOOKUP(E8,$Q$4:$V$7,3,FALSE)</f>
        <v>64.599999999999994</v>
      </c>
      <c r="F13" s="162">
        <f>HLOOKUP(F8,$Q$4:$V$7,3,FALSE)</f>
        <v>62.8</v>
      </c>
      <c r="G13" s="160">
        <f>HLOOKUP(G8,$Q$4:$V$7,3,FALSE)</f>
        <v>60.4</v>
      </c>
    </row>
    <row r="14" spans="1:23" s="114" customFormat="1" ht="18" hidden="1" customHeight="1" x14ac:dyDescent="0.3">
      <c r="A14" s="100" t="s">
        <v>62</v>
      </c>
      <c r="B14" s="160">
        <f>HLOOKUP(B8,$Q$4:$V$7,2,FALSE)</f>
        <v>18.2</v>
      </c>
      <c r="C14" s="160">
        <f>HLOOKUP(C8,$Q$4:$V$7,2,FALSE)</f>
        <v>14</v>
      </c>
      <c r="D14" s="161"/>
      <c r="E14" s="160">
        <f>HLOOKUP(E8,$Q$4:$V$7,2,FALSE)</f>
        <v>8.6999999999999993</v>
      </c>
      <c r="F14" s="162">
        <f>HLOOKUP(F8,$Q$4:$V$7,2,FALSE)</f>
        <v>11.1</v>
      </c>
      <c r="G14" s="160">
        <f>HLOOKUP(G8,$Q$4:$V$7,2,FALSE)</f>
        <v>14.6</v>
      </c>
    </row>
    <row r="15" spans="1:23" ht="15.6" x14ac:dyDescent="0.3">
      <c r="A15" s="53"/>
      <c r="B15" s="115"/>
      <c r="C15" s="115"/>
      <c r="D15" s="109"/>
      <c r="E15" s="115"/>
      <c r="F15" s="116"/>
      <c r="G15" s="115"/>
    </row>
    <row r="16" spans="1:23" ht="20.25" customHeight="1" x14ac:dyDescent="0.3">
      <c r="A16" s="117" t="s">
        <v>110</v>
      </c>
      <c r="B16" s="118"/>
      <c r="C16" s="118"/>
      <c r="D16" s="108"/>
      <c r="E16" s="118"/>
      <c r="F16" s="107"/>
      <c r="G16" s="118"/>
    </row>
    <row r="17" spans="1:8" ht="18" customHeight="1" x14ac:dyDescent="0.3">
      <c r="A17" s="109" t="s">
        <v>60</v>
      </c>
      <c r="B17" s="119">
        <f>ROUND((B11*2000)/((100-B12)/100),2)</f>
        <v>182.35</v>
      </c>
      <c r="C17" s="119">
        <f>ROUND((C11*2000)/((100-C12)/100),2)</f>
        <v>130.68</v>
      </c>
      <c r="D17" s="143"/>
      <c r="E17" s="119">
        <f>ROUND((E11*2000)/((100-E12)/100),2)</f>
        <v>112.5</v>
      </c>
      <c r="F17" s="119">
        <f>ROUND((F11*2000)/((100-F12)/100),2)</f>
        <v>110</v>
      </c>
      <c r="G17" s="119">
        <f>ROUND((G11*2000)/((100-G12)/100),2)</f>
        <v>110</v>
      </c>
    </row>
    <row r="18" spans="1:8" ht="18" customHeight="1" x14ac:dyDescent="0.3">
      <c r="A18" s="121" t="s">
        <v>58</v>
      </c>
      <c r="B18" s="171">
        <f>B17/2000</f>
        <v>9.1174999999999992E-2</v>
      </c>
      <c r="C18" s="171">
        <f>C17/2000</f>
        <v>6.5340000000000009E-2</v>
      </c>
      <c r="D18" s="123"/>
      <c r="E18" s="171">
        <f>E17/2000</f>
        <v>5.6250000000000001E-2</v>
      </c>
      <c r="F18" s="174">
        <f>F17/2000</f>
        <v>5.5E-2</v>
      </c>
      <c r="G18" s="171">
        <f>G17/2000</f>
        <v>5.5E-2</v>
      </c>
    </row>
    <row r="19" spans="1:8" ht="33.75" customHeight="1" x14ac:dyDescent="0.3">
      <c r="A19" s="125" t="s">
        <v>101</v>
      </c>
      <c r="B19" s="172">
        <f>B36</f>
        <v>0.107325</v>
      </c>
      <c r="C19" s="172">
        <f>C36</f>
        <v>8.8739999999999999E-2</v>
      </c>
      <c r="D19" s="127"/>
      <c r="E19" s="172">
        <f>E36</f>
        <v>9.2715000000000006E-2</v>
      </c>
      <c r="F19" s="175">
        <f>F36</f>
        <v>9.8750000000000004E-2</v>
      </c>
      <c r="G19" s="172">
        <f>G36</f>
        <v>8.4169999999999995E-2</v>
      </c>
    </row>
    <row r="20" spans="1:8" s="114" customFormat="1" ht="18" hidden="1" customHeight="1" x14ac:dyDescent="0.3">
      <c r="A20" s="113" t="s">
        <v>73</v>
      </c>
      <c r="B20" s="129">
        <f>(B11*2000)/((B10*(1-(B12/100))*(B13/100)))</f>
        <v>0.1482544237207078</v>
      </c>
      <c r="C20" s="129">
        <f>(C11*2000)/((C10*(1-(C12/100))*(C13/100)))</f>
        <v>0.10890151515151515</v>
      </c>
      <c r="D20" s="113"/>
      <c r="E20" s="129">
        <f t="shared" ref="E20:G20" si="1">(E11*2000)/((E10*(1-(E12/100))*(E13/100)))</f>
        <v>8.7074303405572762E-2</v>
      </c>
      <c r="F20" s="130">
        <f t="shared" si="1"/>
        <v>8.7579617834394899E-2</v>
      </c>
      <c r="G20" s="129">
        <f t="shared" si="1"/>
        <v>9.1059602649006616E-2</v>
      </c>
    </row>
    <row r="21" spans="1:8" s="114" customFormat="1" ht="18" hidden="1" customHeight="1" x14ac:dyDescent="0.3">
      <c r="A21" s="113" t="s">
        <v>74</v>
      </c>
      <c r="B21" s="129">
        <f>(B11*2000)/((B10*(1-(B12/100))*(B14/100)))</f>
        <v>0.50096961861667744</v>
      </c>
      <c r="C21" s="129">
        <f>(C11*2000)/((C10*(1-(C12/100))*(C14/100)))</f>
        <v>0.46672077922077915</v>
      </c>
      <c r="D21" s="113"/>
      <c r="E21" s="129">
        <f t="shared" ref="E21:G21" si="2">(E11*2000)/((E10*(1-(E12/100))*(E14/100)))</f>
        <v>0.64655172413793105</v>
      </c>
      <c r="F21" s="130">
        <f t="shared" si="2"/>
        <v>0.49549549549549549</v>
      </c>
      <c r="G21" s="129">
        <f t="shared" si="2"/>
        <v>0.37671232876712329</v>
      </c>
    </row>
    <row r="22" spans="1:8" ht="15.6" x14ac:dyDescent="0.3">
      <c r="A22" s="109"/>
      <c r="B22" s="131"/>
      <c r="C22" s="132"/>
      <c r="D22" s="109"/>
      <c r="E22" s="132"/>
      <c r="F22" s="132"/>
      <c r="G22" s="132"/>
    </row>
    <row r="23" spans="1:8" ht="20.25" customHeight="1" x14ac:dyDescent="0.3">
      <c r="A23" s="106" t="s">
        <v>75</v>
      </c>
      <c r="B23" s="108"/>
      <c r="C23" s="108"/>
      <c r="D23" s="108"/>
      <c r="E23" s="108"/>
      <c r="F23" s="108"/>
      <c r="G23" s="108"/>
    </row>
    <row r="24" spans="1:8" ht="18" customHeight="1" x14ac:dyDescent="0.3">
      <c r="A24" s="109" t="s">
        <v>50</v>
      </c>
      <c r="B24" s="183">
        <v>7</v>
      </c>
      <c r="C24" s="185"/>
      <c r="D24" s="109"/>
      <c r="E24" s="183">
        <v>7</v>
      </c>
      <c r="F24" s="184"/>
      <c r="G24" s="185"/>
    </row>
    <row r="25" spans="1:8" ht="18" customHeight="1" x14ac:dyDescent="0.3">
      <c r="A25" s="109" t="s">
        <v>51</v>
      </c>
      <c r="B25" s="196">
        <v>1500</v>
      </c>
      <c r="C25" s="197"/>
      <c r="D25" s="109"/>
      <c r="E25" s="186">
        <v>2000</v>
      </c>
      <c r="F25" s="187"/>
      <c r="G25" s="188"/>
    </row>
    <row r="26" spans="1:8" ht="18" customHeight="1" x14ac:dyDescent="0.3">
      <c r="A26" s="109" t="s">
        <v>49</v>
      </c>
      <c r="B26" s="186">
        <v>34</v>
      </c>
      <c r="C26" s="188"/>
      <c r="D26" s="109"/>
      <c r="E26" s="186">
        <v>24</v>
      </c>
      <c r="F26" s="187"/>
      <c r="G26" s="188"/>
    </row>
    <row r="27" spans="1:8" ht="18" customHeight="1" x14ac:dyDescent="0.3">
      <c r="A27" s="133" t="s">
        <v>76</v>
      </c>
      <c r="B27" s="189">
        <f>B26*B25</f>
        <v>51000</v>
      </c>
      <c r="C27" s="191"/>
      <c r="D27" s="109"/>
      <c r="E27" s="189">
        <f>E26*E25</f>
        <v>48000</v>
      </c>
      <c r="F27" s="190"/>
      <c r="G27" s="191"/>
      <c r="H27" s="134" t="str">
        <f>IF(E27&gt;=55000,"** Caution - load may be over weight limits **","")</f>
        <v/>
      </c>
    </row>
    <row r="28" spans="1:8" ht="18" customHeight="1" x14ac:dyDescent="0.3">
      <c r="A28" s="133" t="s">
        <v>77</v>
      </c>
      <c r="B28" s="181">
        <f>B27/2000</f>
        <v>25.5</v>
      </c>
      <c r="C28" s="182"/>
      <c r="D28" s="109"/>
      <c r="E28" s="181">
        <f>E27/2000</f>
        <v>24</v>
      </c>
      <c r="F28" s="192"/>
      <c r="G28" s="182"/>
    </row>
    <row r="29" spans="1:8" ht="18" customHeight="1" x14ac:dyDescent="0.3">
      <c r="A29" s="109" t="s">
        <v>52</v>
      </c>
      <c r="B29" s="158">
        <v>100</v>
      </c>
      <c r="C29" s="158">
        <v>150</v>
      </c>
      <c r="D29" s="109"/>
      <c r="E29" s="163">
        <v>100</v>
      </c>
      <c r="F29" s="158">
        <v>150</v>
      </c>
      <c r="G29" s="164">
        <v>100</v>
      </c>
    </row>
    <row r="30" spans="1:8" ht="18" customHeight="1" x14ac:dyDescent="0.3">
      <c r="A30" s="109" t="s">
        <v>57</v>
      </c>
      <c r="B30" s="119">
        <f>B29*$B$24</f>
        <v>700</v>
      </c>
      <c r="C30" s="119">
        <f>C29*$B$24</f>
        <v>1050</v>
      </c>
      <c r="D30" s="109"/>
      <c r="E30" s="135">
        <f>E29*$E$24</f>
        <v>700</v>
      </c>
      <c r="F30" s="119">
        <f>F29*$E$24</f>
        <v>1050</v>
      </c>
      <c r="G30" s="136">
        <f>G29*$E$24</f>
        <v>700</v>
      </c>
    </row>
    <row r="31" spans="1:8" ht="18" customHeight="1" x14ac:dyDescent="0.3">
      <c r="A31" s="109" t="s">
        <v>61</v>
      </c>
      <c r="B31" s="137">
        <f>B30/$B$28</f>
        <v>27.450980392156861</v>
      </c>
      <c r="C31" s="137">
        <f>C30/$B$28</f>
        <v>41.176470588235297</v>
      </c>
      <c r="D31" s="109"/>
      <c r="E31" s="138">
        <f>E30/$E$28</f>
        <v>29.166666666666668</v>
      </c>
      <c r="F31" s="137">
        <f>F30/$E$28</f>
        <v>43.75</v>
      </c>
      <c r="G31" s="139">
        <f>G30/$E$28</f>
        <v>29.166666666666668</v>
      </c>
    </row>
    <row r="32" spans="1:8" ht="15.6" x14ac:dyDescent="0.3">
      <c r="A32" s="109"/>
      <c r="B32" s="140"/>
      <c r="C32" s="140"/>
      <c r="D32" s="109"/>
      <c r="E32" s="173"/>
      <c r="F32" s="132"/>
      <c r="G32" s="132"/>
    </row>
    <row r="33" spans="1:23" ht="20.25" customHeight="1" x14ac:dyDescent="0.3">
      <c r="A33" s="106" t="s">
        <v>84</v>
      </c>
      <c r="B33" s="141"/>
      <c r="C33" s="141"/>
      <c r="D33" s="108"/>
      <c r="E33" s="108"/>
      <c r="F33" s="108"/>
      <c r="G33" s="108"/>
    </row>
    <row r="34" spans="1:23" ht="18" customHeight="1" x14ac:dyDescent="0.3">
      <c r="A34" s="109" t="s">
        <v>54</v>
      </c>
      <c r="B34" s="119">
        <f>ROUND((B30/$B$28)+(B11*2000),2)</f>
        <v>182.45</v>
      </c>
      <c r="C34" s="119">
        <f>ROUND((C30/$B$28)+(C11*2000),2)</f>
        <v>156.18</v>
      </c>
      <c r="D34" s="143"/>
      <c r="E34" s="119">
        <f>ROUND((E30/$E$28)+(E11*2000),2)</f>
        <v>74.17</v>
      </c>
      <c r="F34" s="119">
        <f>ROUND((F30/$E$28)+(F11*2000),2)</f>
        <v>98.75</v>
      </c>
      <c r="G34" s="119">
        <f>ROUND((G30/$E$28)+(G11*2000),2)</f>
        <v>84.17</v>
      </c>
    </row>
    <row r="35" spans="1:23" ht="18" customHeight="1" x14ac:dyDescent="0.3">
      <c r="A35" s="109" t="s">
        <v>53</v>
      </c>
      <c r="B35" s="142">
        <f>ROUND(SUM(B34/((100-B12)/100)),2)</f>
        <v>214.65</v>
      </c>
      <c r="C35" s="142">
        <f>ROUND(SUM(C34/((100-C12)/100)),2)</f>
        <v>177.48</v>
      </c>
      <c r="D35" s="143"/>
      <c r="E35" s="142">
        <f>ROUND(SUM(E34/((100-E12)/100)),2)</f>
        <v>185.43</v>
      </c>
      <c r="F35" s="142">
        <f>ROUND(SUM(F34/((100-F12)/100)),2)</f>
        <v>197.5</v>
      </c>
      <c r="G35" s="142">
        <f>ROUND(SUM(G34/((100-G12)/100)),2)</f>
        <v>168.34</v>
      </c>
    </row>
    <row r="36" spans="1:23" ht="18" customHeight="1" x14ac:dyDescent="0.3">
      <c r="A36" s="121" t="s">
        <v>55</v>
      </c>
      <c r="B36" s="171">
        <f>B35/2000</f>
        <v>0.107325</v>
      </c>
      <c r="C36" s="171">
        <f>C35/2000</f>
        <v>8.8739999999999999E-2</v>
      </c>
      <c r="D36" s="144"/>
      <c r="E36" s="171">
        <f>E35/2000</f>
        <v>9.2715000000000006E-2</v>
      </c>
      <c r="F36" s="171">
        <f>F35/2000</f>
        <v>9.8750000000000004E-2</v>
      </c>
      <c r="G36" s="171">
        <f>G35/2000</f>
        <v>8.4169999999999995E-2</v>
      </c>
    </row>
    <row r="37" spans="1:23" ht="15.6" x14ac:dyDescent="0.3">
      <c r="A37" s="109"/>
      <c r="B37" s="132"/>
      <c r="C37" s="132"/>
      <c r="D37" s="109"/>
      <c r="E37" s="132"/>
      <c r="F37" s="132"/>
      <c r="G37" s="132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</row>
    <row r="38" spans="1:23" ht="20.25" customHeight="1" x14ac:dyDescent="0.3">
      <c r="A38" s="106" t="s">
        <v>108</v>
      </c>
      <c r="B38" s="141"/>
      <c r="C38" s="141"/>
      <c r="D38" s="108"/>
      <c r="E38" s="108"/>
      <c r="F38" s="108"/>
      <c r="G38" s="108"/>
    </row>
    <row r="39" spans="1:23" ht="18" customHeight="1" x14ac:dyDescent="0.3">
      <c r="A39" s="109" t="s">
        <v>106</v>
      </c>
      <c r="B39" s="158">
        <v>65</v>
      </c>
      <c r="C39" s="158">
        <v>50</v>
      </c>
      <c r="D39" s="109"/>
      <c r="E39" s="158">
        <v>15</v>
      </c>
      <c r="F39" s="158">
        <v>15</v>
      </c>
      <c r="G39" s="158">
        <v>15</v>
      </c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</row>
    <row r="40" spans="1:23" ht="18" customHeight="1" x14ac:dyDescent="0.3">
      <c r="A40" s="146" t="s">
        <v>80</v>
      </c>
      <c r="B40" s="147">
        <f>ROUND((B17*((100-B39)/100)),0)</f>
        <v>64</v>
      </c>
      <c r="C40" s="147">
        <f>ROUND((C17*((100-C39)/100)),0)</f>
        <v>65</v>
      </c>
      <c r="D40" s="146"/>
      <c r="E40" s="147">
        <f>ROUND((E17*((100-E39)/100)),0)</f>
        <v>96</v>
      </c>
      <c r="F40" s="147">
        <f>ROUND((F17*((100-F39)/100)),0)</f>
        <v>94</v>
      </c>
      <c r="G40" s="147">
        <f>ROUND((G17*((100-G39)/100)),0)</f>
        <v>94</v>
      </c>
    </row>
    <row r="41" spans="1:23" s="145" customFormat="1" ht="135" customHeight="1" x14ac:dyDescent="0.3">
      <c r="B41" s="168" t="str">
        <f>" per "&amp;B10&amp;" lb @ "&amp;B39&amp;"% moisture.  If you can buy for less than $"&amp;B40&amp;", it will be less expensive compared to $"&amp;B9&amp;" per "&amp;B10&amp;" lb "&amp;B8&amp;" @ "&amp;B12&amp;"% moisture."</f>
        <v xml:space="preserve"> per 2000 lb @ 65% moisture.  If you can buy for less than $64, it will be less expensive compared to $155 per 2000 lb Alfalfa Hay @ 15% moisture.</v>
      </c>
      <c r="C41" s="169" t="str">
        <f>" per "&amp;C10&amp;" lb @ "&amp;C39&amp;"% moisture.  If you can buy for less than $"&amp;C40&amp;", it will be less expensive compared to $"&amp;C9&amp;" per "&amp;C10&amp;" lb "&amp;C8&amp;" @ "&amp;C12&amp;"% moisture."</f>
        <v xml:space="preserve"> per 2000 lb @ 50% moisture.  If you can buy for less than $65, it will be less expensive compared to $115 per 2000 lb Alfalfa/Grass Hay @ 12% moisture.</v>
      </c>
      <c r="E41" s="168" t="str">
        <f>" per "&amp;E10&amp;" lb @ "&amp;E39&amp;"% moisture.  If you can buy for less than $"&amp;E40&amp;", it will be less expensive compared to $"&amp;E9&amp;" per "&amp;E10&amp;" lb "&amp;E8&amp;" @ "&amp;E12&amp;"% moisture."</f>
        <v xml:space="preserve"> per 2000 lb @ 15% moisture.  If you can buy for less than $96, it will be less expensive compared to $45 per 2000 lb Corn Silage @ 60% moisture.</v>
      </c>
      <c r="F41" s="168" t="str">
        <f>" per "&amp;F10&amp;" lb @ "&amp;F39&amp;"% moisture.  If you can buy for less than $"&amp;F40&amp;", it will be less expensive compared to $"&amp;F9&amp;" per "&amp;F10&amp;" lb "&amp;F8&amp;" @ "&amp;F12&amp;"% moisture."</f>
        <v xml:space="preserve"> per 2000 lb @ 15% moisture.  If you can buy for less than $94, it will be less expensive compared to $55 per 2000 lb Barley Silage @ 50% moisture.</v>
      </c>
      <c r="G41" s="169" t="str">
        <f>" per "&amp;G10&amp;" lb @ "&amp;G39&amp;"% moisture.  If you can buy for less than $"&amp;G40&amp;", it will be less expensive compared to $"&amp;G9&amp;" per "&amp;G10&amp;" lb "&amp;G8&amp;" @ "&amp;G12&amp;"% moisture."</f>
        <v xml:space="preserve"> per 2000 lb @ 15% moisture.  If you can buy for less than $94, it will be less expensive compared to $55 per 2000 lb Alfalfa/Grass Silage @ 50% moisture.</v>
      </c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18" customHeight="1" x14ac:dyDescent="0.3">
      <c r="A42" s="146" t="s">
        <v>81</v>
      </c>
      <c r="B42" s="150">
        <f>ROUND(B40-((B29*$E$24)/$E$26),0)</f>
        <v>35</v>
      </c>
      <c r="C42" s="150">
        <f>ROUND(C40-((C29*$E$24)/$E$26),0)</f>
        <v>21</v>
      </c>
      <c r="D42" s="146"/>
      <c r="E42" s="150">
        <f>ROUND(E40-((E29*$B$24)/$B$26),0)</f>
        <v>75</v>
      </c>
      <c r="F42" s="150">
        <f>ROUND(F40-((F29*$B$24)/$B$26),0)</f>
        <v>63</v>
      </c>
      <c r="G42" s="150">
        <f>ROUND(G40-((G29*$B$24)/$B$26),0)</f>
        <v>73</v>
      </c>
    </row>
    <row r="43" spans="1:23" s="145" customFormat="1" ht="135" customHeight="1" x14ac:dyDescent="0.3">
      <c r="B43" s="168" t="str">
        <f>" per "&amp;B10&amp;" lb @ "&amp;B39&amp;"% moisture.  If you can buy for less than $"&amp;B42&amp;", it will be less expensive compared to $"&amp;B9&amp;" per "&amp;B10&amp;" lb "&amp;B8&amp;" @ "&amp;B12&amp;"% moisture."</f>
        <v xml:space="preserve"> per 2000 lb @ 65% moisture.  If you can buy for less than $35, it will be less expensive compared to $155 per 2000 lb Alfalfa Hay @ 15% moisture.</v>
      </c>
      <c r="C43" s="170" t="str">
        <f>" per "&amp;C10&amp;" lb @ "&amp;C39&amp;"% moisture.  If you can buy for less than $"&amp;C42&amp;", it will be less expensive compared to $"&amp;C9&amp;" per "&amp;C10&amp;" lb "&amp;C8&amp;" @ "&amp;C12&amp;"% moisture."</f>
        <v xml:space="preserve"> per 2000 lb @ 50% moisture.  If you can buy for less than $21, it will be less expensive compared to $115 per 2000 lb Alfalfa/Grass Hay @ 12% moisture.</v>
      </c>
      <c r="E43" s="168" t="str">
        <f>" per "&amp;E10&amp;" lb @ "&amp;E39&amp;"% moisture.  If you can buy for less than $"&amp;E42&amp;", it will be less expensive compared to $"&amp;E9&amp;" per "&amp;E10&amp;" lb "&amp;E8&amp;" @ "&amp;E12&amp;"% moisture."</f>
        <v xml:space="preserve"> per 2000 lb @ 15% moisture.  If you can buy for less than $75, it will be less expensive compared to $45 per 2000 lb Corn Silage @ 60% moisture.</v>
      </c>
      <c r="F43" s="168" t="str">
        <f>" per "&amp;F10&amp;" lb @ "&amp;F39&amp;"% moisture.  If you can buy for less than $"&amp;F42&amp;", it will be less expensive compared to $"&amp;F9&amp;" per "&amp;F10&amp;" lb "&amp;F8&amp;" @ "&amp;F12&amp;"% moisture."</f>
        <v xml:space="preserve"> per 2000 lb @ 15% moisture.  If you can buy for less than $63, it will be less expensive compared to $55 per 2000 lb Barley Silage @ 50% moisture.</v>
      </c>
      <c r="G43" s="170" t="str">
        <f>" per "&amp;G10&amp;" lb @ "&amp;G39&amp;"% moisture.  If you can buy for less than $"&amp;G42&amp;", it will be less expensive compared to $"&amp;G9&amp;" per "&amp;G10&amp;" lb "&amp;G8&amp;" @ "&amp;G12&amp;"% moisture."</f>
        <v xml:space="preserve"> per 2000 lb @ 15% moisture.  If you can buy for less than $73, it will be less expensive compared to $55 per 2000 lb Alfalfa/Grass Silage @ 50% moisture.</v>
      </c>
      <c r="K43" s="71"/>
      <c r="L43"/>
      <c r="M43"/>
      <c r="N43"/>
      <c r="O43"/>
      <c r="P43"/>
      <c r="Q43"/>
      <c r="R43"/>
      <c r="S43"/>
      <c r="T43"/>
      <c r="U43"/>
      <c r="V43"/>
      <c r="W43"/>
    </row>
    <row r="44" spans="1:23" x14ac:dyDescent="0.3">
      <c r="K44" s="71"/>
      <c r="L44" s="71"/>
    </row>
    <row r="45" spans="1:23" ht="6" customHeight="1" x14ac:dyDescent="0.3">
      <c r="K45" s="71"/>
      <c r="L45" s="71"/>
    </row>
    <row r="46" spans="1:23" x14ac:dyDescent="0.3">
      <c r="A46" s="66"/>
      <c r="B46" s="66"/>
      <c r="C46" s="66"/>
      <c r="D46" s="67"/>
      <c r="E46" s="67"/>
      <c r="F46" s="67"/>
      <c r="G46" s="68" t="s">
        <v>111</v>
      </c>
      <c r="H46" s="75" t="s">
        <v>92</v>
      </c>
      <c r="I46" s="71"/>
      <c r="K46" s="71"/>
      <c r="L46" s="71"/>
    </row>
    <row r="47" spans="1:23" ht="17.25" customHeight="1" x14ac:dyDescent="0.3">
      <c r="A47" s="176"/>
      <c r="B47" s="176"/>
      <c r="C47" s="176"/>
      <c r="D47" s="176"/>
      <c r="E47" s="176"/>
      <c r="F47" s="176"/>
      <c r="G47" s="176"/>
      <c r="H47" s="176"/>
      <c r="I47" s="177"/>
      <c r="J47" s="177"/>
      <c r="K47" s="177"/>
      <c r="L47" s="177"/>
      <c r="N47" s="178"/>
      <c r="O47" s="179"/>
      <c r="P47" s="179"/>
    </row>
    <row r="48" spans="1:23" ht="21" customHeight="1" x14ac:dyDescent="0.3">
      <c r="A48" s="176"/>
      <c r="B48" s="176"/>
      <c r="C48" s="176"/>
      <c r="D48" s="176"/>
      <c r="E48" s="176"/>
      <c r="F48" s="176"/>
      <c r="G48" s="176"/>
      <c r="H48" s="176"/>
      <c r="I48" s="177"/>
      <c r="J48" s="177"/>
      <c r="K48" s="177"/>
      <c r="L48" s="177"/>
      <c r="N48" s="178"/>
      <c r="O48" s="179"/>
      <c r="P48" s="179"/>
    </row>
    <row r="49" spans="1:12" s="180" customFormat="1" ht="17.399999999999999" x14ac:dyDescent="0.3">
      <c r="A49" s="176"/>
      <c r="B49" s="176"/>
      <c r="C49" s="176"/>
      <c r="D49" s="176"/>
      <c r="E49" s="176"/>
      <c r="F49" s="176"/>
      <c r="G49" s="176"/>
      <c r="H49" s="176"/>
      <c r="I49" s="177"/>
      <c r="J49" s="177"/>
      <c r="K49" s="177"/>
      <c r="L49" s="177"/>
    </row>
  </sheetData>
  <sheetProtection algorithmName="SHA-512" hashValue="F67oldNJIAg0JhjDxTT3pputgavJRXrbcf10LkWUjx4AacqZlIKs4QXbo5EWkNGu8xGAQsMV9vdCEqU+j9yLkQ==" saltValue="TW57SjL22gEgfncc1k1r5w==" spinCount="100000" sheet="1" objects="1" scenarios="1"/>
  <mergeCells count="12">
    <mergeCell ref="B7:C7"/>
    <mergeCell ref="E7:G7"/>
    <mergeCell ref="B24:C24"/>
    <mergeCell ref="B25:C25"/>
    <mergeCell ref="B26:C26"/>
    <mergeCell ref="B28:C28"/>
    <mergeCell ref="E24:G24"/>
    <mergeCell ref="E25:G25"/>
    <mergeCell ref="E26:G26"/>
    <mergeCell ref="E27:G27"/>
    <mergeCell ref="E28:G28"/>
    <mergeCell ref="B27:C27"/>
  </mergeCells>
  <conditionalFormatting sqref="B27:C27">
    <cfRule type="expression" dxfId="3" priority="2">
      <formula>$B$27&gt;55000</formula>
    </cfRule>
  </conditionalFormatting>
  <conditionalFormatting sqref="E27:G27">
    <cfRule type="expression" dxfId="2" priority="1">
      <formula>$E$27&gt;55000</formula>
    </cfRule>
  </conditionalFormatting>
  <dataValidations disablePrompts="1" count="2">
    <dataValidation type="list" allowBlank="1" showInputMessage="1" showErrorMessage="1" sqref="E8:G8" xr:uid="{00000000-0002-0000-0000-000000000000}">
      <formula1>$L$4:$L$6</formula1>
    </dataValidation>
    <dataValidation type="list" allowBlank="1" showInputMessage="1" showErrorMessage="1" sqref="B8:C8" xr:uid="{00000000-0002-0000-0000-000001000000}">
      <formula1>$L$7:$L$9</formula1>
    </dataValidation>
  </dataValidations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3"/>
  <sheetViews>
    <sheetView topLeftCell="A19" workbookViewId="0">
      <selection activeCell="E27" sqref="E27:G27"/>
    </sheetView>
  </sheetViews>
  <sheetFormatPr defaultRowHeight="14.4" x14ac:dyDescent="0.3"/>
  <cols>
    <col min="1" max="1" width="36.88671875" customWidth="1"/>
    <col min="2" max="3" width="15.6640625" customWidth="1"/>
    <col min="4" max="4" width="3.33203125" customWidth="1"/>
    <col min="5" max="7" width="15.6640625" customWidth="1"/>
    <col min="9" max="9" width="12" customWidth="1"/>
    <col min="11" max="23" width="0" hidden="1" customWidth="1"/>
  </cols>
  <sheetData>
    <row r="1" spans="1:23" ht="27" customHeight="1" x14ac:dyDescent="0.3">
      <c r="A1" s="58"/>
      <c r="B1" s="58"/>
      <c r="C1" s="59"/>
      <c r="D1" s="59"/>
      <c r="E1" s="59"/>
      <c r="F1" s="59"/>
    </row>
    <row r="2" spans="1:23" ht="27.6" x14ac:dyDescent="0.45">
      <c r="A2" s="60" t="s">
        <v>87</v>
      </c>
      <c r="B2" s="58"/>
      <c r="C2" s="59"/>
      <c r="D2" s="59"/>
      <c r="E2" s="59"/>
      <c r="F2" s="59"/>
    </row>
    <row r="3" spans="1:23" s="63" customFormat="1" ht="20.25" customHeight="1" x14ac:dyDescent="0.3">
      <c r="A3" s="61" t="s">
        <v>109</v>
      </c>
      <c r="B3" s="79"/>
      <c r="C3" s="79"/>
      <c r="D3" s="79"/>
      <c r="F3" s="62" t="s">
        <v>88</v>
      </c>
      <c r="G3" s="80">
        <f ca="1">TODAY()</f>
        <v>45566</v>
      </c>
      <c r="H3" s="101"/>
      <c r="K3" s="102" t="s">
        <v>82</v>
      </c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</row>
    <row r="4" spans="1:23" s="58" customFormat="1" ht="15.6" x14ac:dyDescent="0.3">
      <c r="A4" s="81"/>
      <c r="C4" s="82" t="s">
        <v>89</v>
      </c>
      <c r="K4" s="102"/>
      <c r="L4" s="56" t="s">
        <v>70</v>
      </c>
      <c r="M4"/>
      <c r="N4"/>
      <c r="O4" s="53"/>
      <c r="P4" s="53"/>
      <c r="Q4" s="54" t="s">
        <v>70</v>
      </c>
      <c r="R4" s="54" t="s">
        <v>71</v>
      </c>
      <c r="S4" s="54" t="s">
        <v>72</v>
      </c>
      <c r="T4" s="55" t="s">
        <v>66</v>
      </c>
      <c r="U4" s="55" t="s">
        <v>67</v>
      </c>
      <c r="V4" s="54" t="s">
        <v>68</v>
      </c>
      <c r="W4" s="102"/>
    </row>
    <row r="5" spans="1:23" ht="15.6" x14ac:dyDescent="0.3">
      <c r="A5" s="3"/>
      <c r="K5" s="102"/>
      <c r="L5" s="56" t="s">
        <v>71</v>
      </c>
      <c r="O5" s="53" t="s">
        <v>62</v>
      </c>
      <c r="P5" s="53"/>
      <c r="Q5" s="103">
        <v>11.1</v>
      </c>
      <c r="R5" s="103">
        <v>8.6999999999999993</v>
      </c>
      <c r="S5" s="103">
        <v>14.6</v>
      </c>
      <c r="T5" s="104">
        <v>14</v>
      </c>
      <c r="U5" s="105">
        <v>18.2</v>
      </c>
      <c r="V5" s="103">
        <v>9.9</v>
      </c>
      <c r="W5" s="102"/>
    </row>
    <row r="6" spans="1:23" ht="20.25" customHeight="1" x14ac:dyDescent="0.3">
      <c r="A6" s="106" t="s">
        <v>83</v>
      </c>
      <c r="B6" s="107"/>
      <c r="C6" s="107"/>
      <c r="D6" s="108"/>
      <c r="E6" s="107"/>
      <c r="F6" s="107"/>
      <c r="G6" s="107"/>
      <c r="K6" s="102"/>
      <c r="L6" s="56" t="s">
        <v>72</v>
      </c>
      <c r="O6" s="53" t="s">
        <v>63</v>
      </c>
      <c r="P6" s="53"/>
      <c r="Q6" s="103">
        <v>62.8</v>
      </c>
      <c r="R6" s="103">
        <v>64.599999999999994</v>
      </c>
      <c r="S6" s="103">
        <v>60.4</v>
      </c>
      <c r="T6" s="104">
        <v>60</v>
      </c>
      <c r="U6" s="105">
        <v>61.5</v>
      </c>
      <c r="V6" s="103">
        <v>58.4</v>
      </c>
      <c r="W6" s="102"/>
    </row>
    <row r="7" spans="1:23" ht="20.25" customHeight="1" thickBot="1" x14ac:dyDescent="0.35">
      <c r="A7" s="109"/>
      <c r="B7" s="193" t="s">
        <v>56</v>
      </c>
      <c r="C7" s="194"/>
      <c r="D7" s="109"/>
      <c r="E7" s="193" t="s">
        <v>48</v>
      </c>
      <c r="F7" s="195"/>
      <c r="G7" s="194"/>
      <c r="K7" s="102"/>
      <c r="L7" s="57" t="s">
        <v>66</v>
      </c>
      <c r="O7" s="53" t="s">
        <v>64</v>
      </c>
      <c r="P7" s="53"/>
      <c r="Q7" s="103">
        <v>63.2</v>
      </c>
      <c r="R7" s="103">
        <v>71.2</v>
      </c>
      <c r="S7" s="103">
        <v>56.8</v>
      </c>
      <c r="T7" s="104">
        <v>12.6</v>
      </c>
      <c r="U7" s="105">
        <v>12.1</v>
      </c>
      <c r="V7" s="103">
        <v>14.2</v>
      </c>
      <c r="W7" s="102"/>
    </row>
    <row r="8" spans="1:23" ht="38.25" customHeight="1" thickBot="1" x14ac:dyDescent="0.35">
      <c r="A8" s="110" t="s">
        <v>65</v>
      </c>
      <c r="B8" s="152" t="s">
        <v>67</v>
      </c>
      <c r="C8" s="152" t="s">
        <v>66</v>
      </c>
      <c r="D8" s="153"/>
      <c r="E8" s="152" t="s">
        <v>71</v>
      </c>
      <c r="F8" s="152" t="s">
        <v>70</v>
      </c>
      <c r="G8" s="152" t="s">
        <v>72</v>
      </c>
      <c r="K8" s="102"/>
      <c r="L8" s="57" t="s">
        <v>67</v>
      </c>
      <c r="W8" s="102"/>
    </row>
    <row r="9" spans="1:23" ht="18" customHeight="1" x14ac:dyDescent="0.3">
      <c r="A9" s="109" t="s">
        <v>59</v>
      </c>
      <c r="B9" s="154">
        <v>200</v>
      </c>
      <c r="C9" s="154">
        <v>110</v>
      </c>
      <c r="D9" s="153"/>
      <c r="E9" s="154">
        <v>50</v>
      </c>
      <c r="F9" s="155">
        <v>55</v>
      </c>
      <c r="G9" s="154">
        <v>60</v>
      </c>
      <c r="K9" s="102"/>
      <c r="L9" s="56" t="s">
        <v>68</v>
      </c>
      <c r="W9" s="102"/>
    </row>
    <row r="10" spans="1:23" ht="18" customHeight="1" x14ac:dyDescent="0.3">
      <c r="A10" s="109" t="s">
        <v>51</v>
      </c>
      <c r="B10" s="156">
        <v>2000</v>
      </c>
      <c r="C10" s="156">
        <v>2000</v>
      </c>
      <c r="D10" s="153"/>
      <c r="E10" s="156">
        <v>2000</v>
      </c>
      <c r="F10" s="157">
        <v>2000</v>
      </c>
      <c r="G10" s="156">
        <v>2000</v>
      </c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</row>
    <row r="11" spans="1:23" ht="18" customHeight="1" x14ac:dyDescent="0.3">
      <c r="A11" s="110" t="s">
        <v>90</v>
      </c>
      <c r="B11" s="111">
        <f>B9/B10</f>
        <v>0.1</v>
      </c>
      <c r="C11" s="111">
        <f>C9/C10</f>
        <v>5.5E-2</v>
      </c>
      <c r="D11" s="109"/>
      <c r="E11" s="111">
        <f t="shared" ref="E11:G11" si="0">E9/E10</f>
        <v>2.5000000000000001E-2</v>
      </c>
      <c r="F11" s="112">
        <f t="shared" si="0"/>
        <v>2.75E-2</v>
      </c>
      <c r="G11" s="111">
        <f t="shared" si="0"/>
        <v>0.03</v>
      </c>
    </row>
    <row r="12" spans="1:23" ht="18" customHeight="1" x14ac:dyDescent="0.3">
      <c r="A12" s="109" t="s">
        <v>69</v>
      </c>
      <c r="B12" s="158">
        <v>15</v>
      </c>
      <c r="C12" s="158">
        <v>12</v>
      </c>
      <c r="D12" s="153"/>
      <c r="E12" s="158">
        <v>60</v>
      </c>
      <c r="F12" s="159">
        <v>50</v>
      </c>
      <c r="G12" s="158">
        <v>50</v>
      </c>
    </row>
    <row r="13" spans="1:23" ht="18" customHeight="1" x14ac:dyDescent="0.3">
      <c r="A13" s="53" t="s">
        <v>63</v>
      </c>
      <c r="B13" s="158">
        <f>HLOOKUP(B8,$Q$4:$V$7,3,FALSE)</f>
        <v>61.5</v>
      </c>
      <c r="C13" s="158">
        <f>HLOOKUP(C8,$Q$4:$V$7,3,FALSE)</f>
        <v>60</v>
      </c>
      <c r="D13" s="153"/>
      <c r="E13" s="158">
        <f>HLOOKUP(E8,$Q$4:$V$7,3,FALSE)</f>
        <v>64.599999999999994</v>
      </c>
      <c r="F13" s="159">
        <f>HLOOKUP(F8,$Q$4:$V$7,3,FALSE)</f>
        <v>62.8</v>
      </c>
      <c r="G13" s="158">
        <f>HLOOKUP(G8,$Q$4:$V$7,3,FALSE)</f>
        <v>60.4</v>
      </c>
    </row>
    <row r="14" spans="1:23" ht="18" customHeight="1" x14ac:dyDescent="0.3">
      <c r="A14" s="53" t="s">
        <v>62</v>
      </c>
      <c r="B14" s="158">
        <f>HLOOKUP(B8,$Q$4:$V$7,2,FALSE)</f>
        <v>18.2</v>
      </c>
      <c r="C14" s="158">
        <f>HLOOKUP(C8,$Q$4:$V$7,2,FALSE)</f>
        <v>14</v>
      </c>
      <c r="D14" s="153"/>
      <c r="E14" s="158">
        <f>HLOOKUP(E8,$Q$4:$V$7,2,FALSE)</f>
        <v>8.6999999999999993</v>
      </c>
      <c r="F14" s="159">
        <f>HLOOKUP(F8,$Q$4:$V$7,2,FALSE)</f>
        <v>11.1</v>
      </c>
      <c r="G14" s="158">
        <f>HLOOKUP(G8,$Q$4:$V$7,2,FALSE)</f>
        <v>14.6</v>
      </c>
    </row>
    <row r="15" spans="1:23" ht="15.6" x14ac:dyDescent="0.3">
      <c r="A15" s="53"/>
      <c r="B15" s="115"/>
      <c r="C15" s="115"/>
      <c r="D15" s="109"/>
      <c r="E15" s="115"/>
      <c r="F15" s="116"/>
      <c r="G15" s="115"/>
    </row>
    <row r="16" spans="1:23" ht="20.25" customHeight="1" x14ac:dyDescent="0.3">
      <c r="A16" s="117" t="s">
        <v>110</v>
      </c>
      <c r="B16" s="118"/>
      <c r="C16" s="118"/>
      <c r="D16" s="108"/>
      <c r="E16" s="118"/>
      <c r="F16" s="107"/>
      <c r="G16" s="118"/>
    </row>
    <row r="17" spans="1:8" ht="18" customHeight="1" x14ac:dyDescent="0.3">
      <c r="A17" s="109" t="s">
        <v>60</v>
      </c>
      <c r="B17" s="119">
        <f>(B11*2000)/((100-B12)/100)</f>
        <v>235.29411764705884</v>
      </c>
      <c r="C17" s="119">
        <f>(C11*2000)/((100-C12)/100)</f>
        <v>125</v>
      </c>
      <c r="D17" s="109"/>
      <c r="E17" s="119">
        <f>(E11*2000)/((100-E12)/100)</f>
        <v>125</v>
      </c>
      <c r="F17" s="120">
        <f>(F11*2000)/((100-F12)/100)</f>
        <v>110</v>
      </c>
      <c r="G17" s="119">
        <f>(G11*2000)/((100-G12)/100)</f>
        <v>120</v>
      </c>
    </row>
    <row r="18" spans="1:8" ht="18" customHeight="1" x14ac:dyDescent="0.3">
      <c r="A18" s="121" t="s">
        <v>58</v>
      </c>
      <c r="B18" s="122">
        <f>B17/2000</f>
        <v>0.11764705882352942</v>
      </c>
      <c r="C18" s="122">
        <f>C17/2000</f>
        <v>6.25E-2</v>
      </c>
      <c r="D18" s="123"/>
      <c r="E18" s="122">
        <f>E17/2000</f>
        <v>6.25E-2</v>
      </c>
      <c r="F18" s="124">
        <f>F17/2000</f>
        <v>5.5E-2</v>
      </c>
      <c r="G18" s="122">
        <f>G17/2000</f>
        <v>0.06</v>
      </c>
    </row>
    <row r="19" spans="1:8" ht="33.75" customHeight="1" x14ac:dyDescent="0.3">
      <c r="A19" s="125" t="s">
        <v>101</v>
      </c>
      <c r="B19" s="126">
        <f>B36</f>
        <v>0.12573529411764708</v>
      </c>
      <c r="C19" s="126">
        <f>C36</f>
        <v>7.4632352941176469E-2</v>
      </c>
      <c r="D19" s="127"/>
      <c r="E19" s="126">
        <f>E36</f>
        <v>7.3958333333333334E-2</v>
      </c>
      <c r="F19" s="128">
        <f>F36</f>
        <v>7.2187500000000002E-2</v>
      </c>
      <c r="G19" s="126">
        <f>G36</f>
        <v>7.1458333333333332E-2</v>
      </c>
    </row>
    <row r="20" spans="1:8" ht="18" customHeight="1" x14ac:dyDescent="0.3">
      <c r="A20" s="109" t="s">
        <v>73</v>
      </c>
      <c r="B20" s="165">
        <f>(B11*2000)/((B10*(1-(B12/100))*(B13/100)))</f>
        <v>0.19129603060736489</v>
      </c>
      <c r="C20" s="165">
        <f>(C11*2000)/((C10*(1-(C12/100))*(C13/100)))</f>
        <v>0.10416666666666667</v>
      </c>
      <c r="D20" s="109"/>
      <c r="E20" s="165">
        <f t="shared" ref="E20:G20" si="1">(E11*2000)/((E10*(1-(E12/100))*(E13/100)))</f>
        <v>9.6749226006191957E-2</v>
      </c>
      <c r="F20" s="166">
        <f t="shared" si="1"/>
        <v>8.7579617834394899E-2</v>
      </c>
      <c r="G20" s="165">
        <f t="shared" si="1"/>
        <v>9.9337748344370855E-2</v>
      </c>
    </row>
    <row r="21" spans="1:8" ht="18" customHeight="1" x14ac:dyDescent="0.3">
      <c r="A21" s="109" t="s">
        <v>74</v>
      </c>
      <c r="B21" s="165">
        <f>(B11*2000)/((B10*(1-(B12/100))*(B14/100)))</f>
        <v>0.64641241111829351</v>
      </c>
      <c r="C21" s="165">
        <f>(C11*2000)/((C10*(1-(C12/100))*(C14/100)))</f>
        <v>0.44642857142857134</v>
      </c>
      <c r="D21" s="109"/>
      <c r="E21" s="165">
        <f t="shared" ref="E21:G21" si="2">(E11*2000)/((E10*(1-(E12/100))*(E14/100)))</f>
        <v>0.71839080459770122</v>
      </c>
      <c r="F21" s="166">
        <f t="shared" si="2"/>
        <v>0.49549549549549549</v>
      </c>
      <c r="G21" s="165">
        <f t="shared" si="2"/>
        <v>0.41095890410958902</v>
      </c>
    </row>
    <row r="22" spans="1:8" ht="15.6" x14ac:dyDescent="0.3">
      <c r="A22" s="109"/>
      <c r="B22" s="131"/>
      <c r="C22" s="132"/>
      <c r="D22" s="109"/>
      <c r="E22" s="132"/>
      <c r="F22" s="132"/>
      <c r="G22" s="132"/>
    </row>
    <row r="23" spans="1:8" ht="20.25" customHeight="1" x14ac:dyDescent="0.3">
      <c r="A23" s="106" t="s">
        <v>75</v>
      </c>
      <c r="B23" s="108"/>
      <c r="C23" s="108"/>
      <c r="D23" s="108"/>
      <c r="E23" s="108"/>
      <c r="F23" s="108"/>
      <c r="G23" s="108"/>
    </row>
    <row r="24" spans="1:8" ht="18" customHeight="1" x14ac:dyDescent="0.3">
      <c r="A24" s="109" t="s">
        <v>50</v>
      </c>
      <c r="B24" s="183">
        <v>5.5</v>
      </c>
      <c r="C24" s="185"/>
      <c r="D24" s="109"/>
      <c r="E24" s="183">
        <v>5.5</v>
      </c>
      <c r="F24" s="184"/>
      <c r="G24" s="185"/>
    </row>
    <row r="25" spans="1:8" ht="18" customHeight="1" x14ac:dyDescent="0.3">
      <c r="A25" s="109" t="s">
        <v>51</v>
      </c>
      <c r="B25" s="196">
        <v>1500</v>
      </c>
      <c r="C25" s="197"/>
      <c r="D25" s="109"/>
      <c r="E25" s="186">
        <v>2000</v>
      </c>
      <c r="F25" s="187"/>
      <c r="G25" s="188"/>
    </row>
    <row r="26" spans="1:8" ht="18" customHeight="1" x14ac:dyDescent="0.3">
      <c r="A26" s="109" t="s">
        <v>49</v>
      </c>
      <c r="B26" s="186">
        <v>34</v>
      </c>
      <c r="C26" s="188"/>
      <c r="D26" s="109"/>
      <c r="E26" s="186">
        <v>24</v>
      </c>
      <c r="F26" s="187"/>
      <c r="G26" s="188"/>
    </row>
    <row r="27" spans="1:8" ht="18" customHeight="1" x14ac:dyDescent="0.3">
      <c r="A27" s="133" t="s">
        <v>76</v>
      </c>
      <c r="B27" s="189">
        <f>B26*B25</f>
        <v>51000</v>
      </c>
      <c r="C27" s="191"/>
      <c r="D27" s="109"/>
      <c r="E27" s="189">
        <f>E26*E25</f>
        <v>48000</v>
      </c>
      <c r="F27" s="190"/>
      <c r="G27" s="191"/>
      <c r="H27" s="134" t="str">
        <f>IF(E27&gt;=55000,"** Caution - load may be over weight limits **","")</f>
        <v/>
      </c>
    </row>
    <row r="28" spans="1:8" ht="18" customHeight="1" x14ac:dyDescent="0.3">
      <c r="A28" s="133" t="s">
        <v>77</v>
      </c>
      <c r="B28" s="181">
        <f>B27/2000</f>
        <v>25.5</v>
      </c>
      <c r="C28" s="182"/>
      <c r="D28" s="109"/>
      <c r="E28" s="181">
        <f>E27/2000</f>
        <v>24</v>
      </c>
      <c r="F28" s="192"/>
      <c r="G28" s="182"/>
    </row>
    <row r="29" spans="1:8" ht="18" customHeight="1" x14ac:dyDescent="0.3">
      <c r="A29" s="109" t="s">
        <v>52</v>
      </c>
      <c r="B29" s="158">
        <v>100</v>
      </c>
      <c r="C29" s="158">
        <v>150</v>
      </c>
      <c r="D29" s="109"/>
      <c r="E29" s="163">
        <v>100</v>
      </c>
      <c r="F29" s="158">
        <v>150</v>
      </c>
      <c r="G29" s="164">
        <v>100</v>
      </c>
    </row>
    <row r="30" spans="1:8" ht="18" customHeight="1" x14ac:dyDescent="0.3">
      <c r="A30" s="109" t="s">
        <v>57</v>
      </c>
      <c r="B30" s="119">
        <f>B29*$B$24</f>
        <v>550</v>
      </c>
      <c r="C30" s="119">
        <f>C29*$B$24</f>
        <v>825</v>
      </c>
      <c r="D30" s="109"/>
      <c r="E30" s="135">
        <f>E29*$E$24</f>
        <v>550</v>
      </c>
      <c r="F30" s="119">
        <f>F29*$E$24</f>
        <v>825</v>
      </c>
      <c r="G30" s="136">
        <f>G29*$E$24</f>
        <v>550</v>
      </c>
    </row>
    <row r="31" spans="1:8" ht="18" customHeight="1" x14ac:dyDescent="0.3">
      <c r="A31" s="109" t="s">
        <v>61</v>
      </c>
      <c r="B31" s="137">
        <f>B30/$B$28</f>
        <v>21.568627450980394</v>
      </c>
      <c r="C31" s="137">
        <f>C30/$B$28</f>
        <v>32.352941176470587</v>
      </c>
      <c r="D31" s="109"/>
      <c r="E31" s="138">
        <f>E30/$E$28</f>
        <v>22.916666666666668</v>
      </c>
      <c r="F31" s="137">
        <f>F30/$E$28</f>
        <v>34.375</v>
      </c>
      <c r="G31" s="139">
        <f>G30/$E$28</f>
        <v>22.916666666666668</v>
      </c>
    </row>
    <row r="32" spans="1:8" ht="15.6" x14ac:dyDescent="0.3">
      <c r="A32" s="109"/>
      <c r="B32" s="140"/>
      <c r="C32" s="140"/>
      <c r="D32" s="109"/>
      <c r="E32" s="132"/>
      <c r="F32" s="132"/>
      <c r="G32" s="132"/>
    </row>
    <row r="33" spans="1:23" ht="20.25" customHeight="1" x14ac:dyDescent="0.3">
      <c r="A33" s="106" t="s">
        <v>84</v>
      </c>
      <c r="B33" s="141"/>
      <c r="C33" s="141"/>
      <c r="D33" s="108"/>
      <c r="E33" s="108"/>
      <c r="F33" s="108"/>
      <c r="G33" s="108"/>
    </row>
    <row r="34" spans="1:23" ht="18" customHeight="1" x14ac:dyDescent="0.3">
      <c r="A34" s="109" t="s">
        <v>54</v>
      </c>
      <c r="B34" s="119">
        <f>SUM(B30/$B$28)+(B11*2000)</f>
        <v>221.56862745098039</v>
      </c>
      <c r="C34" s="119">
        <f>SUM(C30/$B$28)+(C11*2000)</f>
        <v>142.35294117647058</v>
      </c>
      <c r="D34" s="109"/>
      <c r="E34" s="119">
        <f>SUM(E30/$E$28)+(E11*2000)</f>
        <v>72.916666666666671</v>
      </c>
      <c r="F34" s="119">
        <f>SUM(F30/$E$28)+(F11*2000)</f>
        <v>89.375</v>
      </c>
      <c r="G34" s="119">
        <f>SUM(G30/$E$28)+(G11*2000)</f>
        <v>82.916666666666671</v>
      </c>
    </row>
    <row r="35" spans="1:23" ht="18" customHeight="1" x14ac:dyDescent="0.3">
      <c r="A35" s="109" t="s">
        <v>53</v>
      </c>
      <c r="B35" s="142">
        <f>((B29*$B$24)/$B$26)+B17</f>
        <v>251.47058823529414</v>
      </c>
      <c r="C35" s="142">
        <f>((C29*$B$24)/$B$26)+C17</f>
        <v>149.26470588235293</v>
      </c>
      <c r="D35" s="143"/>
      <c r="E35" s="142">
        <f>((E29*$E$24)/$E$26)+E17</f>
        <v>147.91666666666666</v>
      </c>
      <c r="F35" s="142">
        <f>((F29*$E$24)/$E$26)+F17</f>
        <v>144.375</v>
      </c>
      <c r="G35" s="142">
        <f>((G29*$E$24)/$E$26)+G17</f>
        <v>142.91666666666666</v>
      </c>
    </row>
    <row r="36" spans="1:23" ht="18" customHeight="1" x14ac:dyDescent="0.3">
      <c r="A36" s="121" t="s">
        <v>55</v>
      </c>
      <c r="B36" s="122">
        <f>B35/2000</f>
        <v>0.12573529411764708</v>
      </c>
      <c r="C36" s="122">
        <f>C35/2000</f>
        <v>7.4632352941176469E-2</v>
      </c>
      <c r="D36" s="144"/>
      <c r="E36" s="122">
        <f>E35/2000</f>
        <v>7.3958333333333334E-2</v>
      </c>
      <c r="F36" s="122">
        <f>F35/2000</f>
        <v>7.2187500000000002E-2</v>
      </c>
      <c r="G36" s="122">
        <f>G35/2000</f>
        <v>7.1458333333333332E-2</v>
      </c>
    </row>
    <row r="37" spans="1:23" ht="18" customHeight="1" x14ac:dyDescent="0.3">
      <c r="A37" s="109" t="s">
        <v>78</v>
      </c>
      <c r="B37" s="165">
        <f>(B34)/((B10*(1-(B12/100))*(B13/100)))</f>
        <v>0.21192599469247286</v>
      </c>
      <c r="C37" s="165">
        <f>(C34)/((C10*(1-(C12/100))*(C13/100)))</f>
        <v>0.13480392156862744</v>
      </c>
      <c r="D37" s="167"/>
      <c r="E37" s="165">
        <f t="shared" ref="E37:G37" si="3">(E34)/((E10*(1-(E12/100))*(E13/100)))</f>
        <v>0.14109262125902994</v>
      </c>
      <c r="F37" s="165">
        <f t="shared" si="3"/>
        <v>0.14231687898089171</v>
      </c>
      <c r="G37" s="165">
        <f t="shared" si="3"/>
        <v>0.13727924944812364</v>
      </c>
    </row>
    <row r="38" spans="1:23" ht="18" customHeight="1" x14ac:dyDescent="0.3">
      <c r="A38" s="109" t="s">
        <v>79</v>
      </c>
      <c r="B38" s="165">
        <f>(B34)/((B10*(1-(B12/100))*(B14/100)))</f>
        <v>0.71612355349379575</v>
      </c>
      <c r="C38" s="165">
        <f>(C34)/((C10*(1-(C12/100))*(C14/100)))</f>
        <v>0.57773109243697462</v>
      </c>
      <c r="D38" s="167"/>
      <c r="E38" s="165">
        <f t="shared" ref="E38:G38" si="4">(E34)/((E10*(1-(E12/100))*(E14/100)))</f>
        <v>1.047653256704981</v>
      </c>
      <c r="F38" s="165">
        <f t="shared" si="4"/>
        <v>0.80518018018018023</v>
      </c>
      <c r="G38" s="165">
        <f t="shared" si="4"/>
        <v>0.56792237442922378</v>
      </c>
    </row>
    <row r="39" spans="1:23" ht="15.6" x14ac:dyDescent="0.3">
      <c r="A39" s="109"/>
      <c r="B39" s="132"/>
      <c r="C39" s="132"/>
      <c r="D39" s="109"/>
      <c r="E39" s="132"/>
      <c r="F39" s="132"/>
      <c r="G39" s="132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</row>
    <row r="40" spans="1:23" ht="20.25" customHeight="1" x14ac:dyDescent="0.3">
      <c r="A40" s="106" t="s">
        <v>108</v>
      </c>
      <c r="B40" s="141"/>
      <c r="C40" s="141"/>
      <c r="D40" s="108"/>
      <c r="E40" s="108"/>
      <c r="F40" s="108"/>
      <c r="G40" s="108"/>
    </row>
    <row r="41" spans="1:23" ht="18" customHeight="1" x14ac:dyDescent="0.3">
      <c r="A41" s="109" t="s">
        <v>106</v>
      </c>
      <c r="B41" s="158">
        <v>65</v>
      </c>
      <c r="C41" s="158">
        <v>50</v>
      </c>
      <c r="D41" s="109"/>
      <c r="E41" s="158">
        <v>15</v>
      </c>
      <c r="F41" s="158">
        <v>15</v>
      </c>
      <c r="G41" s="158">
        <v>15</v>
      </c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</row>
    <row r="42" spans="1:23" ht="18" customHeight="1" x14ac:dyDescent="0.3">
      <c r="A42" s="146" t="s">
        <v>80</v>
      </c>
      <c r="B42" s="147">
        <f>ROUND((B17*((100-B41)/100)),0)</f>
        <v>82</v>
      </c>
      <c r="C42" s="147">
        <f>ROUND((C17*((100-C41)/100)),0)</f>
        <v>63</v>
      </c>
      <c r="D42" s="146"/>
      <c r="E42" s="147">
        <f>ROUND((E17*((100-E41)/100)),0)</f>
        <v>106</v>
      </c>
      <c r="F42" s="147">
        <f>ROUND((F17*((100-F41)/100)),0)</f>
        <v>94</v>
      </c>
      <c r="G42" s="147">
        <f>ROUND((G17*((100-G41)/100)),0)</f>
        <v>102</v>
      </c>
    </row>
    <row r="43" spans="1:23" s="145" customFormat="1" ht="140.25" customHeight="1" x14ac:dyDescent="0.3">
      <c r="B43" s="148" t="str">
        <f>" per "&amp;B10&amp;" lb @ "&amp;B41&amp;"% moisture.  If you can buy for less than $"&amp;B42&amp;", it will be less expensive compared to $"&amp;B9&amp;" per "&amp;B10&amp;" lb "&amp;B8&amp;" @ "&amp;B12&amp;"% moisture."</f>
        <v xml:space="preserve"> per 2000 lb @ 65% moisture.  If you can buy for less than $82, it will be less expensive compared to $200 per 2000 lb Alfalfa Hay @ 15% moisture.</v>
      </c>
      <c r="C43" s="149" t="str">
        <f>" per "&amp;C10&amp;" lb @ "&amp;C41&amp;"% moisture.  If you can buy for less than $"&amp;C42&amp;", it will be less expensive compared to $"&amp;C9&amp;" per "&amp;C10&amp;" lb "&amp;C8&amp;" @ "&amp;C12&amp;"% moisture."</f>
        <v xml:space="preserve"> per 2000 lb @ 50% moisture.  If you can buy for less than $63, it will be less expensive compared to $110 per 2000 lb Alfalfa/Grass Hay @ 12% moisture.</v>
      </c>
      <c r="E43" s="148" t="str">
        <f>" per "&amp;E10&amp;" lb @ "&amp;E41&amp;"% moisture.  If you can buy for less than $"&amp;E42&amp;", it will be less expensive compared to $"&amp;E9&amp;" per "&amp;E10&amp;" lb "&amp;E8&amp;" @ "&amp;E12&amp;"% moisture."</f>
        <v xml:space="preserve"> per 2000 lb @ 15% moisture.  If you can buy for less than $106, it will be less expensive compared to $50 per 2000 lb Corn Silage @ 60% moisture.</v>
      </c>
      <c r="F43" s="148" t="str">
        <f>" per "&amp;F10&amp;" lb @ "&amp;F41&amp;"% moisture.  If you can buy for less than $"&amp;F42&amp;", it will be less expensive compared to $"&amp;F9&amp;" per "&amp;F10&amp;" lb "&amp;F8&amp;" @ "&amp;F12&amp;"% moisture."</f>
        <v xml:space="preserve"> per 2000 lb @ 15% moisture.  If you can buy for less than $94, it will be less expensive compared to $55 per 2000 lb Barley Silage @ 50% moisture.</v>
      </c>
      <c r="G43" s="149" t="str">
        <f>" per "&amp;G10&amp;" lb @ "&amp;G41&amp;"% moisture.  If you can buy for less than $"&amp;G42&amp;", it will be less expensive compared to $"&amp;G9&amp;" per "&amp;G10&amp;" lb "&amp;G8&amp;" @ "&amp;G12&amp;"% moisture."</f>
        <v xml:space="preserve"> per 2000 lb @ 15% moisture.  If you can buy for less than $102, it will be less expensive compared to $60 per 2000 lb Alfalfa/Grass Silage @ 50% moisture.</v>
      </c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ht="18" customHeight="1" x14ac:dyDescent="0.3">
      <c r="A44" s="146" t="s">
        <v>81</v>
      </c>
      <c r="B44" s="150">
        <f>ROUND(B42-((B29*$E$24)/$E$26),0)</f>
        <v>59</v>
      </c>
      <c r="C44" s="150">
        <f>ROUND(C42-((C29*$E$24)/$E$26),0)</f>
        <v>29</v>
      </c>
      <c r="D44" s="146"/>
      <c r="E44" s="150">
        <f>ROUND(E42-((E29*$B$24)/$B$26),0)</f>
        <v>90</v>
      </c>
      <c r="F44" s="150">
        <f>ROUND(F42-((F29*$B$24)/$B$26),0)</f>
        <v>70</v>
      </c>
      <c r="G44" s="150">
        <f>ROUND(G42-((G29*$B$24)/$B$26),0)</f>
        <v>86</v>
      </c>
    </row>
    <row r="45" spans="1:23" s="145" customFormat="1" ht="140.25" customHeight="1" x14ac:dyDescent="0.3">
      <c r="B45" s="148" t="str">
        <f>" per "&amp;B10&amp;" lb @ "&amp;B41&amp;"% moisture.  If you can buy for less than $"&amp;B44&amp;", it will be less expensive compared to $"&amp;B9&amp;" per "&amp;B10&amp;" lb "&amp;B8&amp;" @ "&amp;B12&amp;"% moisture."</f>
        <v xml:space="preserve"> per 2000 lb @ 65% moisture.  If you can buy for less than $59, it will be less expensive compared to $200 per 2000 lb Alfalfa Hay @ 15% moisture.</v>
      </c>
      <c r="C45" s="151" t="str">
        <f>" per "&amp;C10&amp;" lb @ "&amp;C41&amp;"% moisture.  If you can buy for less than $"&amp;C44&amp;", it will be less expensive compared to $"&amp;C9&amp;" per "&amp;C10&amp;" lb "&amp;C8&amp;" @ "&amp;C12&amp;"% moisture."</f>
        <v xml:space="preserve"> per 2000 lb @ 50% moisture.  If you can buy for less than $29, it will be less expensive compared to $110 per 2000 lb Alfalfa/Grass Hay @ 12% moisture.</v>
      </c>
      <c r="E45" s="148" t="str">
        <f>" per "&amp;E10&amp;" lb @ "&amp;E41&amp;"% moisture.  If you can buy for less than $"&amp;E44&amp;", it will be less expensive compared to $"&amp;E9&amp;" per "&amp;E10&amp;" lb "&amp;E8&amp;" @ "&amp;E12&amp;"% moisture."</f>
        <v xml:space="preserve"> per 2000 lb @ 15% moisture.  If you can buy for less than $90, it will be less expensive compared to $50 per 2000 lb Corn Silage @ 60% moisture.</v>
      </c>
      <c r="F45" s="148" t="str">
        <f>" per "&amp;F10&amp;" lb @ "&amp;F41&amp;"% moisture.  If you can buy for less than $"&amp;F44&amp;", it will be less expensive compared to $"&amp;F9&amp;" per "&amp;F10&amp;" lb "&amp;F8&amp;" @ "&amp;F12&amp;"% moisture."</f>
        <v xml:space="preserve"> per 2000 lb @ 15% moisture.  If you can buy for less than $70, it will be less expensive compared to $55 per 2000 lb Barley Silage @ 50% moisture.</v>
      </c>
      <c r="G45" s="151" t="str">
        <f>" per "&amp;G10&amp;" lb @ "&amp;G41&amp;"% moisture.  If you can buy for less than $"&amp;G44&amp;", it will be less expensive compared to $"&amp;G9&amp;" per "&amp;G10&amp;" lb "&amp;G8&amp;" @ "&amp;G12&amp;"% moisture."</f>
        <v xml:space="preserve"> per 2000 lb @ 15% moisture.  If you can buy for less than $86, it will be less expensive compared to $60 per 2000 lb Alfalfa/Grass Silage @ 50% moisture.</v>
      </c>
      <c r="K45" s="71"/>
      <c r="L45"/>
      <c r="M45"/>
      <c r="N45"/>
      <c r="O45"/>
      <c r="P45"/>
      <c r="Q45"/>
      <c r="R45"/>
      <c r="S45"/>
      <c r="T45"/>
      <c r="U45"/>
      <c r="V45"/>
      <c r="W45"/>
    </row>
    <row r="46" spans="1:23" x14ac:dyDescent="0.3">
      <c r="K46" s="71"/>
      <c r="L46" s="71"/>
    </row>
    <row r="47" spans="1:23" x14ac:dyDescent="0.3">
      <c r="K47" s="71"/>
      <c r="L47" s="71"/>
    </row>
    <row r="48" spans="1:23" ht="6" customHeight="1" x14ac:dyDescent="0.3">
      <c r="K48" s="71"/>
      <c r="L48" s="71"/>
    </row>
    <row r="49" spans="1:12" x14ac:dyDescent="0.3">
      <c r="A49" s="65" t="s">
        <v>91</v>
      </c>
      <c r="B49" s="66"/>
      <c r="C49" s="66"/>
      <c r="D49" s="67"/>
      <c r="E49" s="67"/>
      <c r="F49" s="67"/>
      <c r="G49" s="68" t="s">
        <v>99</v>
      </c>
      <c r="H49" s="75" t="s">
        <v>92</v>
      </c>
      <c r="I49" s="71"/>
      <c r="K49" s="71"/>
      <c r="L49" s="71"/>
    </row>
    <row r="50" spans="1:12" x14ac:dyDescent="0.3">
      <c r="A50" s="69" t="s">
        <v>93</v>
      </c>
      <c r="B50" s="70"/>
      <c r="C50" s="70"/>
      <c r="D50" s="70"/>
      <c r="E50" s="70"/>
      <c r="F50" s="70"/>
      <c r="G50" s="70"/>
      <c r="H50" s="70"/>
      <c r="I50" s="71"/>
      <c r="J50" s="71"/>
    </row>
    <row r="51" spans="1:12" x14ac:dyDescent="0.3">
      <c r="A51" s="71"/>
      <c r="B51" s="71"/>
      <c r="C51" s="71"/>
      <c r="D51" s="71"/>
      <c r="E51" s="71"/>
      <c r="F51" s="71"/>
      <c r="G51" s="71"/>
      <c r="H51" s="71"/>
      <c r="I51" s="71"/>
      <c r="J51" s="71"/>
    </row>
    <row r="52" spans="1:12" x14ac:dyDescent="0.3">
      <c r="A52" s="76" t="s">
        <v>94</v>
      </c>
      <c r="B52" s="77" t="s">
        <v>95</v>
      </c>
      <c r="D52" s="71"/>
      <c r="E52" s="76" t="s">
        <v>97</v>
      </c>
      <c r="F52" s="72"/>
      <c r="G52" s="71"/>
      <c r="H52" s="71"/>
      <c r="J52" s="72"/>
    </row>
    <row r="53" spans="1:12" x14ac:dyDescent="0.3">
      <c r="A53" s="73" t="s">
        <v>96</v>
      </c>
      <c r="B53" s="73" t="s">
        <v>96</v>
      </c>
      <c r="D53" s="71"/>
      <c r="E53" s="74" t="s">
        <v>98</v>
      </c>
      <c r="F53" s="70"/>
      <c r="G53" s="71"/>
      <c r="H53" s="71"/>
      <c r="J53" s="73"/>
    </row>
  </sheetData>
  <mergeCells count="12">
    <mergeCell ref="B7:C7"/>
    <mergeCell ref="E7:G7"/>
    <mergeCell ref="B24:C24"/>
    <mergeCell ref="E24:G24"/>
    <mergeCell ref="B25:C25"/>
    <mergeCell ref="E25:G25"/>
    <mergeCell ref="B26:C26"/>
    <mergeCell ref="E26:G26"/>
    <mergeCell ref="B27:C27"/>
    <mergeCell ref="E27:G27"/>
    <mergeCell ref="B28:C28"/>
    <mergeCell ref="E28:G28"/>
  </mergeCells>
  <conditionalFormatting sqref="B27:C27">
    <cfRule type="expression" dxfId="1" priority="2">
      <formula>$B$27&gt;55000</formula>
    </cfRule>
  </conditionalFormatting>
  <conditionalFormatting sqref="E27:G27">
    <cfRule type="expression" dxfId="0" priority="1">
      <formula>$E$27&gt;55000</formula>
    </cfRule>
  </conditionalFormatting>
  <dataValidations count="2">
    <dataValidation type="list" allowBlank="1" showInputMessage="1" showErrorMessage="1" sqref="B8:C8" xr:uid="{00000000-0002-0000-0100-000000000000}">
      <formula1>$L$7:$L$9</formula1>
    </dataValidation>
    <dataValidation type="list" allowBlank="1" showInputMessage="1" showErrorMessage="1" sqref="E8:G8" xr:uid="{00000000-0002-0000-0100-000001000000}">
      <formula1>$L$4:$L$6</formula1>
    </dataValidation>
  </dataValidations>
  <hyperlinks>
    <hyperlink ref="E52" r:id="rId1" xr:uid="{00000000-0004-0000-0100-000000000000}"/>
    <hyperlink ref="A52" r:id="rId2" xr:uid="{00000000-0004-0000-0100-000001000000}"/>
    <hyperlink ref="B52" r:id="rId3" xr:uid="{00000000-0004-0000-0100-000002000000}"/>
  </hyperlinks>
  <pageMargins left="0.7" right="0.7" top="0.75" bottom="0.75" header="0.3" footer="0.3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"/>
  <sheetViews>
    <sheetView zoomScaleNormal="100" workbookViewId="0">
      <selection activeCell="H6" sqref="H6"/>
    </sheetView>
  </sheetViews>
  <sheetFormatPr defaultRowHeight="14.4" x14ac:dyDescent="0.3"/>
  <cols>
    <col min="1" max="1" width="18" customWidth="1"/>
    <col min="2" max="2" width="7.88671875" customWidth="1"/>
    <col min="3" max="3" width="23.88671875" customWidth="1"/>
    <col min="4" max="4" width="4.33203125" customWidth="1"/>
    <col min="5" max="5" width="4.88671875" customWidth="1"/>
    <col min="6" max="11" width="15.6640625" customWidth="1"/>
    <col min="12" max="12" width="11.6640625" customWidth="1"/>
  </cols>
  <sheetData>
    <row r="1" spans="1:18" ht="27" customHeight="1" x14ac:dyDescent="0.3">
      <c r="A1" s="58"/>
      <c r="B1" s="58"/>
      <c r="C1" s="58"/>
      <c r="D1" s="58"/>
      <c r="E1" s="59"/>
      <c r="F1" s="59"/>
      <c r="G1" s="59"/>
      <c r="H1" s="59"/>
    </row>
    <row r="2" spans="1:18" ht="27.6" x14ac:dyDescent="0.45">
      <c r="A2" s="60" t="s">
        <v>107</v>
      </c>
      <c r="B2" s="60"/>
      <c r="C2" s="60"/>
      <c r="D2" s="58"/>
      <c r="E2" s="59"/>
      <c r="F2" s="59"/>
      <c r="G2" s="59"/>
      <c r="H2" s="59"/>
    </row>
    <row r="3" spans="1:18" s="63" customFormat="1" ht="21" customHeight="1" x14ac:dyDescent="0.3">
      <c r="A3" s="61" t="s">
        <v>100</v>
      </c>
      <c r="B3" s="61"/>
      <c r="C3" s="61"/>
      <c r="D3" s="79"/>
      <c r="E3" s="79"/>
      <c r="F3" s="79"/>
      <c r="G3" s="62" t="s">
        <v>88</v>
      </c>
      <c r="H3" s="80">
        <f ca="1">TODAY()</f>
        <v>45566</v>
      </c>
      <c r="O3" s="79"/>
      <c r="P3" s="79"/>
      <c r="Q3" s="79"/>
      <c r="R3" s="64"/>
    </row>
    <row r="4" spans="1:18" s="58" customFormat="1" ht="13.8" x14ac:dyDescent="0.25">
      <c r="A4" s="81"/>
      <c r="B4" s="81"/>
    </row>
    <row r="5" spans="1:18" s="58" customFormat="1" ht="13.8" x14ac:dyDescent="0.25">
      <c r="A5" s="81"/>
      <c r="B5" s="81"/>
      <c r="C5" s="82" t="s">
        <v>89</v>
      </c>
      <c r="E5" s="82"/>
    </row>
    <row r="6" spans="1:18" s="58" customFormat="1" ht="13.8" x14ac:dyDescent="0.25">
      <c r="A6" s="81"/>
      <c r="B6" s="81"/>
      <c r="C6" s="81"/>
      <c r="E6" s="82"/>
    </row>
    <row r="7" spans="1:18" s="58" customFormat="1" ht="13.8" x14ac:dyDescent="0.25">
      <c r="A7" s="81"/>
      <c r="B7" s="81"/>
      <c r="C7" s="81"/>
      <c r="E7" s="82"/>
    </row>
    <row r="8" spans="1:18" s="58" customFormat="1" thickBot="1" x14ac:dyDescent="0.3">
      <c r="A8" s="81"/>
      <c r="B8" s="81"/>
      <c r="C8" s="81"/>
      <c r="E8" s="82"/>
    </row>
    <row r="9" spans="1:18" s="83" customFormat="1" ht="25.5" customHeight="1" thickBot="1" x14ac:dyDescent="0.35">
      <c r="B9" s="198" t="s">
        <v>102</v>
      </c>
      <c r="C9" s="199"/>
      <c r="D9" s="199"/>
      <c r="E9" s="199"/>
      <c r="F9" s="200"/>
    </row>
    <row r="10" spans="1:18" s="84" customFormat="1" ht="33" customHeight="1" x14ac:dyDescent="0.3">
      <c r="B10" s="88">
        <v>3.5</v>
      </c>
      <c r="C10" s="89" t="s">
        <v>104</v>
      </c>
      <c r="D10" s="90" t="s">
        <v>85</v>
      </c>
      <c r="E10" s="91">
        <v>15</v>
      </c>
      <c r="F10" s="92" t="s">
        <v>86</v>
      </c>
    </row>
    <row r="11" spans="1:18" x14ac:dyDescent="0.3">
      <c r="A11" s="85"/>
      <c r="B11" s="93"/>
      <c r="C11" s="85"/>
      <c r="D11" s="86"/>
      <c r="F11" s="94"/>
    </row>
    <row r="12" spans="1:18" x14ac:dyDescent="0.3">
      <c r="A12" s="85"/>
      <c r="B12" s="93"/>
      <c r="C12" s="85"/>
      <c r="D12" s="86"/>
      <c r="F12" s="94"/>
    </row>
    <row r="13" spans="1:18" x14ac:dyDescent="0.3">
      <c r="A13" s="85"/>
      <c r="B13" s="93"/>
      <c r="C13" s="85"/>
      <c r="D13" s="86"/>
      <c r="F13" s="94"/>
    </row>
    <row r="14" spans="1:18" x14ac:dyDescent="0.3">
      <c r="A14" s="85"/>
      <c r="B14" s="93"/>
      <c r="C14" s="85"/>
      <c r="F14" s="94"/>
    </row>
    <row r="15" spans="1:18" x14ac:dyDescent="0.3">
      <c r="A15" s="85"/>
      <c r="B15" s="93"/>
      <c r="C15" s="85"/>
      <c r="D15" s="86"/>
      <c r="F15" s="94"/>
    </row>
    <row r="16" spans="1:18" x14ac:dyDescent="0.3">
      <c r="A16" s="85"/>
      <c r="B16" s="93"/>
      <c r="C16" s="85"/>
      <c r="D16" s="86"/>
      <c r="F16" s="94"/>
    </row>
    <row r="17" spans="1:14" x14ac:dyDescent="0.3">
      <c r="A17" s="85"/>
      <c r="B17" s="93"/>
      <c r="C17" s="85"/>
      <c r="D17" s="86"/>
      <c r="F17" s="94"/>
    </row>
    <row r="18" spans="1:14" ht="15" thickBot="1" x14ac:dyDescent="0.35">
      <c r="A18" s="85"/>
      <c r="B18" s="93"/>
      <c r="C18" s="85"/>
      <c r="D18" s="86"/>
      <c r="F18" s="94"/>
    </row>
    <row r="19" spans="1:14" s="83" customFormat="1" ht="25.5" customHeight="1" thickBot="1" x14ac:dyDescent="0.35">
      <c r="B19" s="198" t="s">
        <v>103</v>
      </c>
      <c r="C19" s="199"/>
      <c r="D19" s="199"/>
      <c r="E19" s="199"/>
      <c r="F19" s="200"/>
    </row>
    <row r="20" spans="1:14" s="84" customFormat="1" ht="33" customHeight="1" thickBot="1" x14ac:dyDescent="0.35">
      <c r="A20" s="87"/>
      <c r="B20" s="95">
        <f>(100-E10)/(100-E20)*B10</f>
        <v>7.4375</v>
      </c>
      <c r="C20" s="96" t="s">
        <v>105</v>
      </c>
      <c r="D20" s="97" t="s">
        <v>85</v>
      </c>
      <c r="E20" s="98">
        <v>60</v>
      </c>
      <c r="F20" s="99" t="s">
        <v>86</v>
      </c>
    </row>
    <row r="21" spans="1:14" x14ac:dyDescent="0.3">
      <c r="A21" s="85"/>
      <c r="B21" s="85"/>
      <c r="C21" s="85"/>
      <c r="D21" s="86"/>
      <c r="F21" s="86"/>
    </row>
    <row r="22" spans="1:14" x14ac:dyDescent="0.3">
      <c r="A22" s="85"/>
      <c r="B22" s="85"/>
      <c r="C22" s="85"/>
      <c r="D22" s="86"/>
      <c r="F22" s="86"/>
    </row>
    <row r="23" spans="1:14" x14ac:dyDescent="0.3">
      <c r="A23" s="85"/>
      <c r="B23" s="85"/>
      <c r="C23" s="85"/>
      <c r="D23" s="86"/>
      <c r="F23" s="86"/>
    </row>
    <row r="25" spans="1:14" ht="6" customHeight="1" x14ac:dyDescent="0.3"/>
    <row r="26" spans="1:14" x14ac:dyDescent="0.3">
      <c r="A26" s="65" t="s">
        <v>91</v>
      </c>
      <c r="B26" s="66"/>
      <c r="C26" s="66"/>
      <c r="D26" s="66"/>
      <c r="E26" s="66"/>
      <c r="F26" s="67"/>
      <c r="G26" s="67"/>
      <c r="H26" s="68" t="s">
        <v>99</v>
      </c>
      <c r="K26" s="71"/>
      <c r="M26" s="71"/>
    </row>
    <row r="27" spans="1:14" x14ac:dyDescent="0.3">
      <c r="A27" s="69" t="s">
        <v>93</v>
      </c>
      <c r="B27" s="78"/>
      <c r="C27" s="78"/>
      <c r="D27" s="70"/>
      <c r="E27" s="70"/>
      <c r="F27" s="70"/>
      <c r="G27" s="70"/>
      <c r="H27" s="70"/>
      <c r="I27" s="70"/>
      <c r="J27" s="70"/>
      <c r="K27" s="71"/>
      <c r="L27" s="71"/>
      <c r="M27" s="71"/>
      <c r="N27" s="71"/>
    </row>
    <row r="28" spans="1:14" ht="9" customHeight="1" x14ac:dyDescent="0.3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</row>
    <row r="29" spans="1:14" x14ac:dyDescent="0.3">
      <c r="A29" s="76" t="s">
        <v>94</v>
      </c>
      <c r="B29" s="76"/>
      <c r="C29" s="77" t="s">
        <v>95</v>
      </c>
      <c r="E29" s="76" t="s">
        <v>97</v>
      </c>
      <c r="F29" s="71"/>
      <c r="H29" s="72"/>
      <c r="I29" s="71"/>
      <c r="J29" s="71"/>
      <c r="L29" s="72"/>
      <c r="M29" s="71"/>
      <c r="N29" s="71"/>
    </row>
    <row r="30" spans="1:14" x14ac:dyDescent="0.3">
      <c r="A30" s="73" t="s">
        <v>96</v>
      </c>
      <c r="B30" s="73"/>
      <c r="C30" s="73" t="s">
        <v>96</v>
      </c>
      <c r="E30" s="74" t="s">
        <v>98</v>
      </c>
      <c r="F30" s="71"/>
      <c r="H30" s="70"/>
      <c r="I30" s="71"/>
      <c r="J30" s="71"/>
      <c r="L30" s="73"/>
      <c r="M30" s="71"/>
      <c r="N30" s="71"/>
    </row>
  </sheetData>
  <mergeCells count="2">
    <mergeCell ref="B9:F9"/>
    <mergeCell ref="B19:F19"/>
  </mergeCells>
  <hyperlinks>
    <hyperlink ref="E29" r:id="rId1" xr:uid="{00000000-0004-0000-0200-000000000000}"/>
    <hyperlink ref="A29" r:id="rId2" xr:uid="{00000000-0004-0000-0200-000001000000}"/>
    <hyperlink ref="C29" r:id="rId3" xr:uid="{00000000-0004-0000-0200-000002000000}"/>
  </hyperlinks>
  <pageMargins left="0.7" right="0.7" top="0.75" bottom="0.75" header="0.3" footer="0.3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workbookViewId="0">
      <selection activeCell="F22" sqref="F22"/>
    </sheetView>
  </sheetViews>
  <sheetFormatPr defaultRowHeight="14.4" x14ac:dyDescent="0.3"/>
  <cols>
    <col min="1" max="1" width="44" customWidth="1"/>
    <col min="3" max="3" width="19.5546875" customWidth="1"/>
    <col min="4" max="4" width="11.33203125" customWidth="1"/>
    <col min="5" max="5" width="11.5546875" customWidth="1"/>
    <col min="6" max="6" width="12.44140625" customWidth="1"/>
    <col min="7" max="7" width="13.6640625" customWidth="1"/>
    <col min="8" max="8" width="10.109375" customWidth="1"/>
    <col min="9" max="9" width="12" customWidth="1"/>
    <col min="10" max="10" width="11.6640625" customWidth="1"/>
  </cols>
  <sheetData>
    <row r="1" spans="1:11" x14ac:dyDescent="0.3">
      <c r="A1" s="4" t="s">
        <v>22</v>
      </c>
      <c r="B1" s="5" t="s">
        <v>1</v>
      </c>
      <c r="C1" s="5" t="s">
        <v>8</v>
      </c>
      <c r="D1" s="6">
        <v>10</v>
      </c>
      <c r="E1" s="7" t="s">
        <v>2</v>
      </c>
    </row>
    <row r="2" spans="1:11" x14ac:dyDescent="0.3">
      <c r="A2" s="8" t="s">
        <v>0</v>
      </c>
      <c r="B2" s="3">
        <v>5</v>
      </c>
      <c r="C2" s="44">
        <f>(100-B3)/(100-D1)*B2</f>
        <v>2.7777777777777777</v>
      </c>
      <c r="D2" t="s">
        <v>42</v>
      </c>
      <c r="E2" s="9"/>
      <c r="G2" s="47" t="s">
        <v>43</v>
      </c>
    </row>
    <row r="3" spans="1:11" ht="15" thickBot="1" x14ac:dyDescent="0.35">
      <c r="A3" s="10" t="s">
        <v>3</v>
      </c>
      <c r="B3" s="11">
        <v>50</v>
      </c>
      <c r="C3" s="12"/>
      <c r="D3" s="12"/>
      <c r="E3" s="13"/>
    </row>
    <row r="4" spans="1:11" ht="15" thickBot="1" x14ac:dyDescent="0.35"/>
    <row r="5" spans="1:11" x14ac:dyDescent="0.3">
      <c r="A5" s="4" t="s">
        <v>4</v>
      </c>
      <c r="B5" s="5" t="s">
        <v>1</v>
      </c>
      <c r="C5" s="5" t="s">
        <v>7</v>
      </c>
      <c r="D5" s="14">
        <v>50</v>
      </c>
      <c r="E5" s="7" t="s">
        <v>2</v>
      </c>
    </row>
    <row r="6" spans="1:11" x14ac:dyDescent="0.3">
      <c r="A6" s="8" t="s">
        <v>5</v>
      </c>
      <c r="B6" s="3">
        <v>4</v>
      </c>
      <c r="C6" s="44">
        <f>(100-B7)/(100-D5)*B6</f>
        <v>6.8</v>
      </c>
      <c r="E6" s="9"/>
    </row>
    <row r="7" spans="1:11" ht="15" thickBot="1" x14ac:dyDescent="0.35">
      <c r="A7" s="10" t="s">
        <v>6</v>
      </c>
      <c r="B7" s="11">
        <v>15</v>
      </c>
      <c r="C7" s="12"/>
      <c r="D7" s="12"/>
      <c r="E7" s="13"/>
    </row>
    <row r="8" spans="1:11" ht="15" thickBot="1" x14ac:dyDescent="0.35"/>
    <row r="9" spans="1:11" x14ac:dyDescent="0.3">
      <c r="A9" s="4" t="s">
        <v>15</v>
      </c>
      <c r="B9" s="5" t="s">
        <v>2</v>
      </c>
      <c r="C9" s="5"/>
      <c r="D9" s="7" t="s">
        <v>16</v>
      </c>
      <c r="E9" s="18" t="s">
        <v>26</v>
      </c>
      <c r="F9" s="3">
        <v>1500</v>
      </c>
      <c r="G9" t="s">
        <v>17</v>
      </c>
      <c r="H9" s="3">
        <v>100</v>
      </c>
      <c r="I9" t="s">
        <v>19</v>
      </c>
      <c r="J9" s="2">
        <v>34</v>
      </c>
      <c r="K9" t="s">
        <v>21</v>
      </c>
    </row>
    <row r="10" spans="1:11" x14ac:dyDescent="0.3">
      <c r="A10" s="21">
        <v>60</v>
      </c>
      <c r="B10" s="3">
        <v>65</v>
      </c>
      <c r="C10" t="s">
        <v>10</v>
      </c>
      <c r="D10" s="15">
        <f>A10/((100-B10)/100)</f>
        <v>171.42857142857144</v>
      </c>
      <c r="E10" s="19">
        <f>D10/2000</f>
        <v>8.5714285714285729E-2</v>
      </c>
      <c r="H10" s="52">
        <v>5.5</v>
      </c>
      <c r="I10" t="s">
        <v>20</v>
      </c>
    </row>
    <row r="11" spans="1:11" x14ac:dyDescent="0.3">
      <c r="A11" s="8" t="s">
        <v>9</v>
      </c>
      <c r="B11" s="3">
        <v>15</v>
      </c>
      <c r="C11" t="s">
        <v>27</v>
      </c>
      <c r="D11" s="45">
        <f>D10*(100-B11)/100</f>
        <v>145.71428571428572</v>
      </c>
      <c r="E11" s="46">
        <f>D11/2000</f>
        <v>7.2857142857142856E-2</v>
      </c>
      <c r="F11" s="1">
        <f>D11/2000*F9</f>
        <v>109.28571428571428</v>
      </c>
      <c r="G11" t="s">
        <v>18</v>
      </c>
      <c r="H11" s="44">
        <f>F11-(H9*H10/J9)</f>
        <v>93.109243697478988</v>
      </c>
      <c r="I11" t="s">
        <v>25</v>
      </c>
    </row>
    <row r="12" spans="1:11" ht="15" thickBot="1" x14ac:dyDescent="0.35">
      <c r="A12" s="10"/>
      <c r="B12" s="12"/>
      <c r="C12" s="12"/>
      <c r="D12" s="13"/>
      <c r="E12" s="20"/>
    </row>
    <row r="13" spans="1:11" ht="15" thickBot="1" x14ac:dyDescent="0.35"/>
    <row r="14" spans="1:11" x14ac:dyDescent="0.3">
      <c r="A14" s="4" t="s">
        <v>14</v>
      </c>
      <c r="B14" s="5" t="s">
        <v>2</v>
      </c>
      <c r="C14" s="5"/>
      <c r="D14" s="7"/>
      <c r="E14" s="3">
        <v>100</v>
      </c>
      <c r="F14" t="s">
        <v>23</v>
      </c>
      <c r="G14" s="3">
        <v>24</v>
      </c>
      <c r="H14" t="s">
        <v>24</v>
      </c>
    </row>
    <row r="15" spans="1:11" x14ac:dyDescent="0.3">
      <c r="A15" s="16">
        <v>200</v>
      </c>
      <c r="B15" s="3">
        <v>15</v>
      </c>
      <c r="C15" t="s">
        <v>12</v>
      </c>
      <c r="D15" s="15">
        <f>A15/((100-B15)/100)</f>
        <v>235.29411764705884</v>
      </c>
      <c r="E15" s="52">
        <v>5.5</v>
      </c>
      <c r="F15" t="s">
        <v>20</v>
      </c>
    </row>
    <row r="16" spans="1:11" ht="15" thickBot="1" x14ac:dyDescent="0.35">
      <c r="A16" s="10" t="s">
        <v>11</v>
      </c>
      <c r="B16" s="11">
        <v>50</v>
      </c>
      <c r="C16" s="12" t="s">
        <v>13</v>
      </c>
      <c r="D16" s="48">
        <f>D15*(100-B16)/100</f>
        <v>117.64705882352942</v>
      </c>
      <c r="E16" s="44">
        <f>D16-((E14*E15)/G14)</f>
        <v>94.730392156862749</v>
      </c>
      <c r="F16" t="s">
        <v>25</v>
      </c>
    </row>
    <row r="17" spans="2:5" x14ac:dyDescent="0.3">
      <c r="B17" s="3"/>
      <c r="D17" s="1"/>
      <c r="E17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1"/>
  <sheetViews>
    <sheetView workbookViewId="0">
      <selection activeCell="E31" sqref="E31"/>
    </sheetView>
  </sheetViews>
  <sheetFormatPr defaultRowHeight="14.4" x14ac:dyDescent="0.3"/>
  <cols>
    <col min="1" max="1" width="26.109375" customWidth="1"/>
    <col min="4" max="4" width="12.109375" customWidth="1"/>
    <col min="6" max="6" width="11.88671875" customWidth="1"/>
    <col min="7" max="7" width="12.5546875" customWidth="1"/>
    <col min="8" max="8" width="13.33203125" customWidth="1"/>
    <col min="10" max="10" width="12" customWidth="1"/>
  </cols>
  <sheetData>
    <row r="1" spans="1:14" ht="15" thickBot="1" x14ac:dyDescent="0.35">
      <c r="A1" s="41">
        <v>2000</v>
      </c>
      <c r="B1" s="27" t="s">
        <v>1</v>
      </c>
      <c r="C1" s="27"/>
      <c r="D1" s="27"/>
      <c r="E1" s="27"/>
      <c r="F1" s="29"/>
      <c r="G1" s="34" t="s">
        <v>25</v>
      </c>
      <c r="H1" s="35" t="s">
        <v>30</v>
      </c>
      <c r="I1" s="36"/>
      <c r="J1" s="18" t="s">
        <v>36</v>
      </c>
    </row>
    <row r="2" spans="1:14" ht="15" thickBot="1" x14ac:dyDescent="0.35">
      <c r="A2" s="51" t="s">
        <v>33</v>
      </c>
      <c r="B2" s="27" t="s">
        <v>26</v>
      </c>
      <c r="C2" s="27" t="s">
        <v>41</v>
      </c>
      <c r="D2" s="27"/>
      <c r="E2" s="29" t="s">
        <v>28</v>
      </c>
      <c r="F2" s="40" t="s">
        <v>29</v>
      </c>
      <c r="G2" s="37" t="s">
        <v>29</v>
      </c>
      <c r="H2" s="38" t="s">
        <v>45</v>
      </c>
      <c r="I2" s="39" t="s">
        <v>31</v>
      </c>
      <c r="J2" s="20" t="s">
        <v>37</v>
      </c>
    </row>
    <row r="3" spans="1:14" x14ac:dyDescent="0.3">
      <c r="A3" s="21">
        <v>40</v>
      </c>
      <c r="B3" s="42">
        <f>A3/A1</f>
        <v>0.02</v>
      </c>
      <c r="C3" s="3">
        <v>60</v>
      </c>
      <c r="D3" t="s">
        <v>39</v>
      </c>
      <c r="E3" s="15">
        <f>A3/((100-C3)/100)</f>
        <v>100</v>
      </c>
      <c r="F3" s="50">
        <f>E3/2000</f>
        <v>0.05</v>
      </c>
      <c r="G3" s="50">
        <f>H3/2000</f>
        <v>8.4375000000000006E-2</v>
      </c>
      <c r="H3" s="1">
        <f>(I3*E11/C11)+E3</f>
        <v>168.75</v>
      </c>
      <c r="I3" s="22">
        <v>300</v>
      </c>
      <c r="J3" s="33">
        <f>I3*E11</f>
        <v>1650</v>
      </c>
      <c r="L3" t="s">
        <v>46</v>
      </c>
      <c r="N3" t="s">
        <v>47</v>
      </c>
    </row>
    <row r="4" spans="1:14" x14ac:dyDescent="0.3">
      <c r="A4" s="21">
        <v>50</v>
      </c>
      <c r="B4" s="42">
        <f>A4/A1</f>
        <v>2.5000000000000001E-2</v>
      </c>
      <c r="C4" s="3">
        <v>55</v>
      </c>
      <c r="D4" t="s">
        <v>39</v>
      </c>
      <c r="E4" s="15">
        <f>A4/((100-C4)/100)</f>
        <v>111.11111111111111</v>
      </c>
      <c r="F4" s="31">
        <f>E4/2000</f>
        <v>5.5555555555555559E-2</v>
      </c>
      <c r="G4" s="31">
        <f>H4/2000</f>
        <v>7.2743055555555561E-2</v>
      </c>
      <c r="H4" s="1">
        <f>I4*E11/C11+E4</f>
        <v>145.48611111111111</v>
      </c>
      <c r="I4" s="22">
        <v>150</v>
      </c>
      <c r="J4" s="33">
        <f>I4*E11</f>
        <v>825</v>
      </c>
    </row>
    <row r="5" spans="1:14" x14ac:dyDescent="0.3">
      <c r="A5" s="21">
        <v>60</v>
      </c>
      <c r="B5" s="42">
        <f>A5/A1</f>
        <v>0.03</v>
      </c>
      <c r="C5" s="3">
        <v>65</v>
      </c>
      <c r="D5" t="s">
        <v>39</v>
      </c>
      <c r="E5" s="15">
        <f>A5/((100-C5)/100)</f>
        <v>171.42857142857144</v>
      </c>
      <c r="F5" s="31">
        <f>E5/2000</f>
        <v>8.5714285714285729E-2</v>
      </c>
      <c r="G5" s="31">
        <f>H5/2000</f>
        <v>9.7172619047619049E-2</v>
      </c>
      <c r="H5" s="1">
        <f>I5*E11/C11+E5</f>
        <v>194.3452380952381</v>
      </c>
      <c r="I5" s="22">
        <v>100</v>
      </c>
      <c r="J5" s="33">
        <f>I5*E11</f>
        <v>550</v>
      </c>
    </row>
    <row r="6" spans="1:14" x14ac:dyDescent="0.3">
      <c r="A6" s="21">
        <v>123</v>
      </c>
      <c r="B6" s="42">
        <f>A6/A1</f>
        <v>6.1499999999999999E-2</v>
      </c>
      <c r="C6" s="3">
        <v>15</v>
      </c>
      <c r="D6" t="s">
        <v>38</v>
      </c>
      <c r="E6" s="15">
        <f>A6/((100-C6)/100)</f>
        <v>144.70588235294119</v>
      </c>
      <c r="F6" s="31">
        <f>E6/2000</f>
        <v>7.2352941176470592E-2</v>
      </c>
      <c r="G6" s="31">
        <f>H6/2000</f>
        <v>8.0441176470588252E-2</v>
      </c>
      <c r="H6" s="1">
        <f>I6*D9/F9+E6</f>
        <v>160.88235294117649</v>
      </c>
      <c r="I6" s="22">
        <v>100</v>
      </c>
      <c r="J6" s="33">
        <f>I6*D9</f>
        <v>550</v>
      </c>
    </row>
    <row r="7" spans="1:14" ht="15" thickBot="1" x14ac:dyDescent="0.35">
      <c r="A7" s="23">
        <v>60</v>
      </c>
      <c r="B7" s="43">
        <f>A7/A1</f>
        <v>0.03</v>
      </c>
      <c r="C7" s="11">
        <v>12</v>
      </c>
      <c r="D7" s="12" t="s">
        <v>38</v>
      </c>
      <c r="E7" s="17">
        <f>A7/((100-C7)/100)</f>
        <v>68.181818181818187</v>
      </c>
      <c r="F7" s="32">
        <f>E7/2000</f>
        <v>3.4090909090909095E-2</v>
      </c>
      <c r="G7" s="32">
        <f>H7/2000</f>
        <v>4.2179144385026741E-2</v>
      </c>
      <c r="H7" s="30">
        <f>I7*D9/F9+E7</f>
        <v>84.358288770053477</v>
      </c>
      <c r="I7" s="24">
        <v>100</v>
      </c>
      <c r="J7" s="20">
        <f>I7*D9</f>
        <v>550</v>
      </c>
    </row>
    <row r="8" spans="1:14" ht="15" thickBot="1" x14ac:dyDescent="0.35">
      <c r="B8" s="3"/>
      <c r="D8" s="1"/>
      <c r="E8" s="1"/>
      <c r="H8" s="4" t="s">
        <v>32</v>
      </c>
      <c r="I8" s="7" t="s">
        <v>35</v>
      </c>
    </row>
    <row r="9" spans="1:14" ht="15" thickBot="1" x14ac:dyDescent="0.35">
      <c r="A9" s="25" t="s">
        <v>34</v>
      </c>
      <c r="B9" s="26">
        <v>1500</v>
      </c>
      <c r="C9" s="27" t="s">
        <v>17</v>
      </c>
      <c r="D9" s="49">
        <v>5.5</v>
      </c>
      <c r="E9" s="27" t="s">
        <v>20</v>
      </c>
      <c r="F9" s="28">
        <v>34</v>
      </c>
      <c r="G9" s="27" t="s">
        <v>21</v>
      </c>
      <c r="H9" s="25">
        <f>F9*B9</f>
        <v>51000</v>
      </c>
      <c r="I9" s="29">
        <f>H9/2000</f>
        <v>25.5</v>
      </c>
    </row>
    <row r="10" spans="1:14" ht="15" thickBot="1" x14ac:dyDescent="0.35">
      <c r="A10" s="8"/>
      <c r="H10" t="s">
        <v>44</v>
      </c>
    </row>
    <row r="11" spans="1:14" ht="15" thickBot="1" x14ac:dyDescent="0.35">
      <c r="A11" s="25" t="s">
        <v>40</v>
      </c>
      <c r="B11" s="27" t="s">
        <v>23</v>
      </c>
      <c r="C11" s="26">
        <v>24</v>
      </c>
      <c r="D11" s="27" t="s">
        <v>24</v>
      </c>
      <c r="E11" s="49">
        <v>5.5</v>
      </c>
      <c r="F11" s="29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3257931C4EB4CBE667AF33D71167E" ma:contentTypeVersion="3" ma:contentTypeDescription="Create a new document." ma:contentTypeScope="" ma:versionID="40765f1e47717a1969b3d26f47aa1f8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665880aa3952302b15396eac48c33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F2C44E1-F519-45EC-BD31-01A275D239D7}"/>
</file>

<file path=customXml/itemProps2.xml><?xml version="1.0" encoding="utf-8"?>
<ds:datastoreItem xmlns:ds="http://schemas.openxmlformats.org/officeDocument/2006/customXml" ds:itemID="{BDE51663-C559-44F9-98E4-033B195F65CC}"/>
</file>

<file path=customXml/itemProps3.xml><?xml version="1.0" encoding="utf-8"?>
<ds:datastoreItem xmlns:ds="http://schemas.openxmlformats.org/officeDocument/2006/customXml" ds:itemID="{3C9692A8-96AE-4580-BFE7-166C57AED7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Forage Purchase</vt:lpstr>
      <vt:lpstr>Forage Purchase (with TDN HIDE)</vt:lpstr>
      <vt:lpstr>conversion</vt:lpstr>
      <vt:lpstr>Sheet1</vt:lpstr>
      <vt:lpstr>Sheet2</vt:lpstr>
      <vt:lpstr>'Forage Purchase'!Print_Area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Forage Purchase Decision Calculator</dc:title>
  <dc:creator>bhamm</dc:creator>
  <cp:lastModifiedBy>Berthelette, Crystal</cp:lastModifiedBy>
  <cp:lastPrinted>2024-10-01T16:36:11Z</cp:lastPrinted>
  <dcterms:created xsi:type="dcterms:W3CDTF">2019-09-06T15:05:38Z</dcterms:created>
  <dcterms:modified xsi:type="dcterms:W3CDTF">2024-10-01T16:36:18Z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0x01010007C3257931C4EB4CBE667AF33D71167E</vt:lpwstr>
  </property>
</Properties>
</file>