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03\Farm Management\Production Economics\COP decision support tools\1 - Crops Calculators\final version\"/>
    </mc:Choice>
  </mc:AlternateContent>
  <xr:revisionPtr revIDLastSave="0" documentId="8_{F2E5179A-BE97-4C10-B5D9-19B0AE84202A}" xr6:coauthVersionLast="47" xr6:coauthVersionMax="47" xr10:uidLastSave="{00000000-0000-0000-0000-000000000000}"/>
  <workbookProtection workbookAlgorithmName="SHA-512" workbookHashValue="U3gsAMVOr+S5RdGQbmQVU6GHRNbsm/fZ5fJPJTcclTBJ766EETHWEpt0h2HrqoPW8vrgEtst4mIFWp7YDlYeLA==" workbookSaltValue="FFeKf2W6tw7pHt7ku9LGmg==" workbookSpinCount="100000" lockStructure="1"/>
  <bookViews>
    <workbookView xWindow="-96" yWindow="-96" windowWidth="23232" windowHeight="12552" xr2:uid="{00000000-000D-0000-FFFF-FFFF00000000}"/>
  </bookViews>
  <sheets>
    <sheet name="FertPlan" sheetId="1" r:id="rId1"/>
    <sheet name="Calculations" sheetId="2" state="hidden" r:id="rId2"/>
  </sheets>
  <definedNames>
    <definedName name="_xlnm.Print_Area" localSheetId="0">FertPlan!$A$1:$H$41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8" i="1"/>
  <c r="H16" i="1"/>
  <c r="H15" i="1"/>
  <c r="H17" i="1" l="1"/>
  <c r="C22" i="2"/>
  <c r="G12" i="2"/>
  <c r="G11" i="2"/>
  <c r="B9" i="2"/>
  <c r="G19" i="1"/>
  <c r="H19" i="1" s="1"/>
  <c r="D31" i="1"/>
  <c r="F31" i="1" s="1"/>
  <c r="D23" i="2" s="1"/>
  <c r="F23" i="2" s="1"/>
  <c r="C31" i="1"/>
  <c r="C23" i="2" s="1"/>
  <c r="C26" i="1"/>
  <c r="C18" i="2" s="1"/>
  <c r="C25" i="1"/>
  <c r="C17" i="2" s="1"/>
  <c r="D25" i="1"/>
  <c r="F25" i="1" s="1"/>
  <c r="D17" i="2" s="1"/>
  <c r="F17" i="2" s="1"/>
  <c r="C28" i="1"/>
  <c r="C20" i="2" s="1"/>
  <c r="C27" i="1"/>
  <c r="C19" i="2" s="1"/>
  <c r="E19" i="1"/>
  <c r="C29" i="1" s="1"/>
  <c r="C21" i="2" s="1"/>
  <c r="H2" i="1"/>
  <c r="E23" i="2" l="1"/>
  <c r="E17" i="2"/>
  <c r="D29" i="1"/>
  <c r="F29" i="1" l="1"/>
  <c r="D21" i="2" s="1"/>
  <c r="F21" i="2" s="1"/>
  <c r="D8" i="2"/>
  <c r="E8" i="2"/>
  <c r="D28" i="1" s="1"/>
  <c r="C8" i="2"/>
  <c r="E21" i="2"/>
  <c r="F8" i="2"/>
  <c r="F28" i="1" l="1"/>
  <c r="D20" i="2" s="1"/>
  <c r="F20" i="2" s="1"/>
  <c r="E20" i="2"/>
  <c r="E7" i="2"/>
  <c r="C7" i="2"/>
  <c r="F7" i="2"/>
  <c r="D7" i="2"/>
  <c r="D27" i="1" s="1"/>
  <c r="F27" i="1" l="1"/>
  <c r="D19" i="2" s="1"/>
  <c r="F19" i="2" s="1"/>
  <c r="F6" i="2"/>
  <c r="E6" i="2"/>
  <c r="C6" i="2"/>
  <c r="D26" i="1" s="1"/>
  <c r="E19" i="2"/>
  <c r="D6" i="2"/>
  <c r="F26" i="1" l="1"/>
  <c r="E18" i="2"/>
  <c r="E5" i="2"/>
  <c r="E11" i="2" s="1"/>
  <c r="F5" i="2"/>
  <c r="F11" i="2" s="1"/>
  <c r="D5" i="2"/>
  <c r="D11" i="2" s="1"/>
  <c r="C5" i="2"/>
  <c r="C11" i="2" s="1"/>
  <c r="D30" i="1"/>
  <c r="H26" i="1" s="1"/>
  <c r="D12" i="2" l="1"/>
  <c r="F12" i="2"/>
  <c r="E12" i="2"/>
  <c r="H29" i="1"/>
  <c r="B8" i="2" s="1"/>
  <c r="H28" i="1"/>
  <c r="B7" i="2" s="1"/>
  <c r="H27" i="1"/>
  <c r="B6" i="2" s="1"/>
  <c r="B5" i="2"/>
  <c r="E9" i="1"/>
  <c r="C12" i="2"/>
  <c r="D18" i="2"/>
  <c r="F30" i="1"/>
  <c r="D22" i="2" s="1"/>
  <c r="B10" i="2" l="1"/>
  <c r="H30" i="1"/>
  <c r="E22" i="2"/>
  <c r="E24" i="2" s="1"/>
  <c r="B33" i="1" s="1"/>
  <c r="F22" i="2"/>
  <c r="F18" i="2"/>
  <c r="D24" i="2"/>
  <c r="A36" i="1" s="1"/>
  <c r="F24" i="2" l="1"/>
</calcChain>
</file>

<file path=xl/sharedStrings.xml><?xml version="1.0" encoding="utf-8"?>
<sst xmlns="http://schemas.openxmlformats.org/spreadsheetml/2006/main" count="68" uniqueCount="42">
  <si>
    <t>Printed:</t>
  </si>
  <si>
    <t>N</t>
  </si>
  <si>
    <t>P</t>
  </si>
  <si>
    <t>K</t>
  </si>
  <si>
    <t>S</t>
  </si>
  <si>
    <t>Sulphur</t>
  </si>
  <si>
    <t>Potash</t>
  </si>
  <si>
    <t>Phosphate</t>
  </si>
  <si>
    <t>Nitrogen</t>
  </si>
  <si>
    <t>Blend charge</t>
  </si>
  <si>
    <t xml:space="preserve">  </t>
  </si>
  <si>
    <t>Cost</t>
  </si>
  <si>
    <t>Tonne</t>
  </si>
  <si>
    <t>Nutrient contribution</t>
  </si>
  <si>
    <t>Guarentee</t>
  </si>
  <si>
    <t>Fertilizer Analysis</t>
  </si>
  <si>
    <t>$ Per lb. Actual</t>
  </si>
  <si>
    <t>Actual Nutrient Required (lbs/acre)</t>
  </si>
  <si>
    <t>Number of Acres</t>
  </si>
  <si>
    <t>Total lbs/acre</t>
  </si>
  <si>
    <t>Tonnes Required</t>
  </si>
  <si>
    <t xml:space="preserve"> % of Blend</t>
  </si>
  <si>
    <t>Fertilizer Type</t>
  </si>
  <si>
    <t>Cost ($/Tonne)</t>
  </si>
  <si>
    <t>Supplemental</t>
  </si>
  <si>
    <t>n/a</t>
  </si>
  <si>
    <t>Pre-seeding</t>
  </si>
  <si>
    <t>Total Blend</t>
  </si>
  <si>
    <t>Blend</t>
  </si>
  <si>
    <t>Total</t>
  </si>
  <si>
    <t>Cost/ac</t>
  </si>
  <si>
    <t xml:space="preserve"> </t>
  </si>
  <si>
    <t>. . . . . . . . . . . . . . . . . . . . . . . . . . . . . . . . . . . . . . . . . . . . . . . .</t>
  </si>
  <si>
    <r>
      <rPr>
        <b/>
        <sz val="18"/>
        <color indexed="8"/>
        <rFont val="Arial"/>
        <family val="2"/>
      </rPr>
      <t>FertPlan:</t>
    </r>
    <r>
      <rPr>
        <b/>
        <sz val="14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>Fertilizer Cost and Requirement Calculator</t>
    </r>
  </si>
  <si>
    <t>Acres and Fertilizer Requirements</t>
  </si>
  <si>
    <t>Fertilizer Price and Nutrient Analysis</t>
  </si>
  <si>
    <t>Fertilizer Summary</t>
  </si>
  <si>
    <r>
      <t>*** Enter changes to</t>
    </r>
    <r>
      <rPr>
        <b/>
        <sz val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BLUE</t>
    </r>
    <r>
      <rPr>
        <sz val="12"/>
        <rFont val="Arial"/>
        <family val="2"/>
      </rPr>
      <t xml:space="preserve"> numbers only ***</t>
    </r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</si>
  <si>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soil fertility. Interpretation and use of this information is the responsibility of the user.  If you need help with a budget, contact a Farm Management Specialist.</t>
    </r>
  </si>
  <si>
    <t>January, 2024</t>
  </si>
  <si>
    <t xml:space="preserve">Other Resources: </t>
  </si>
  <si>
    <t>Manitoba Fertilizer Cost &amp;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</si>
</sst>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&quot;$&quot;#,##0.00"/>
    <numFmt numFmtId="166" formatCode="&quot;$&quot;#,##0_);\(&quot;$&quot;#,##0\)"/>
    <numFmt numFmtId="167" formatCode="General_)"/>
    <numFmt numFmtId="168" formatCode="&quot;$&quot;#,##0.00_);\(&quot;$&quot;#,##0.00\)"/>
    <numFmt numFmtId="169" formatCode="0.00_)"/>
    <numFmt numFmtId="170" formatCode="#,##0.000"/>
    <numFmt numFmtId="171" formatCode="0.0_)"/>
    <numFmt numFmtId="172" formatCode="0_)"/>
    <numFmt numFmtId="173" formatCode="&quot;$&quot;#,##0.000"/>
    <numFmt numFmtId="174" formatCode="&quot;$&quot;#,##0"/>
    <numFmt numFmtId="175" formatCode="0.00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Courier"/>
      <family val="3"/>
    </font>
    <font>
      <sz val="10"/>
      <color indexed="12"/>
      <name val="Helv"/>
    </font>
    <font>
      <sz val="10"/>
      <name val="Helv"/>
    </font>
    <font>
      <sz val="10"/>
      <color indexed="8"/>
      <name val="Helv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10"/>
      <name val="Arial"/>
    </font>
  </fonts>
  <fills count="8">
    <fill>
      <patternFill patternType="none"/>
    </fill>
    <fill>
      <patternFill patternType="gray125"/>
    </fill>
    <fill>
      <patternFill patternType="darkGray">
        <fgColor indexed="1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165" fontId="5" fillId="0" borderId="0">
      <alignment vertical="top"/>
    </xf>
    <xf numFmtId="9" fontId="4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77"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167" fontId="1" fillId="0" borderId="0" xfId="0" applyNumberFormat="1" applyFont="1"/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171" fontId="1" fillId="0" borderId="0" xfId="0" applyNumberFormat="1" applyFont="1"/>
    <xf numFmtId="167" fontId="6" fillId="0" borderId="0" xfId="0" applyNumberFormat="1" applyFont="1" applyAlignment="1">
      <alignment horizontal="right"/>
    </xf>
    <xf numFmtId="169" fontId="1" fillId="0" borderId="0" xfId="0" applyNumberFormat="1" applyFont="1"/>
    <xf numFmtId="172" fontId="1" fillId="0" borderId="0" xfId="0" applyNumberFormat="1" applyFont="1"/>
    <xf numFmtId="169" fontId="6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/>
    <xf numFmtId="167" fontId="8" fillId="0" borderId="0" xfId="0" applyNumberFormat="1" applyFont="1" applyAlignment="1">
      <alignment horizontal="right"/>
    </xf>
    <xf numFmtId="168" fontId="7" fillId="0" borderId="0" xfId="0" applyNumberFormat="1" applyFont="1" applyProtection="1">
      <protection locked="0"/>
    </xf>
    <xf numFmtId="167" fontId="8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168" fontId="1" fillId="0" borderId="0" xfId="0" applyNumberFormat="1" applyFont="1"/>
    <xf numFmtId="10" fontId="1" fillId="0" borderId="0" xfId="0" applyNumberFormat="1" applyFont="1"/>
    <xf numFmtId="167" fontId="1" fillId="0" borderId="0" xfId="0" applyNumberFormat="1" applyFont="1" applyAlignment="1">
      <alignment horizontal="right"/>
    </xf>
    <xf numFmtId="164" fontId="9" fillId="2" borderId="0" xfId="0" applyNumberFormat="1" applyFont="1" applyFill="1"/>
    <xf numFmtId="167" fontId="10" fillId="2" borderId="1" xfId="0" applyNumberFormat="1" applyFont="1" applyFill="1" applyBorder="1" applyAlignment="1">
      <alignment horizontal="left"/>
    </xf>
    <xf numFmtId="164" fontId="11" fillId="2" borderId="2" xfId="0" applyNumberFormat="1" applyFont="1" applyFill="1" applyBorder="1"/>
    <xf numFmtId="167" fontId="10" fillId="2" borderId="0" xfId="0" applyNumberFormat="1" applyFont="1" applyFill="1" applyAlignment="1">
      <alignment horizontal="left"/>
    </xf>
    <xf numFmtId="164" fontId="11" fillId="2" borderId="0" xfId="0" applyNumberFormat="1" applyFont="1" applyFill="1"/>
    <xf numFmtId="165" fontId="0" fillId="0" borderId="0" xfId="0" applyNumberFormat="1"/>
    <xf numFmtId="167" fontId="12" fillId="0" borderId="3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171" fontId="5" fillId="0" borderId="0" xfId="0" applyNumberFormat="1" applyFont="1"/>
    <xf numFmtId="168" fontId="3" fillId="0" borderId="0" xfId="0" applyNumberFormat="1" applyFont="1" applyAlignment="1">
      <alignment horizontal="center" vertical="center"/>
    </xf>
    <xf numFmtId="175" fontId="13" fillId="0" borderId="0" xfId="0" applyNumberFormat="1" applyFont="1" applyAlignment="1">
      <alignment horizontal="right"/>
    </xf>
    <xf numFmtId="167" fontId="7" fillId="0" borderId="0" xfId="0" applyNumberFormat="1" applyFont="1"/>
    <xf numFmtId="167" fontId="13" fillId="0" borderId="0" xfId="0" applyNumberFormat="1" applyFont="1" applyAlignment="1">
      <alignment horizontal="right"/>
    </xf>
    <xf numFmtId="165" fontId="1" fillId="0" borderId="0" xfId="0" applyNumberFormat="1" applyFont="1"/>
    <xf numFmtId="167" fontId="27" fillId="0" borderId="0" xfId="0" applyNumberFormat="1" applyFont="1" applyAlignment="1">
      <alignment horizontal="center"/>
    </xf>
    <xf numFmtId="167" fontId="15" fillId="3" borderId="4" xfId="0" applyNumberFormat="1" applyFont="1" applyFill="1" applyBorder="1" applyAlignment="1">
      <alignment horizontal="right"/>
    </xf>
    <xf numFmtId="174" fontId="14" fillId="3" borderId="4" xfId="0" applyNumberFormat="1" applyFont="1" applyFill="1" applyBorder="1" applyAlignment="1" applyProtection="1">
      <alignment horizontal="center"/>
      <protection locked="0"/>
    </xf>
    <xf numFmtId="167" fontId="14" fillId="3" borderId="4" xfId="0" applyNumberFormat="1" applyFont="1" applyFill="1" applyBorder="1" applyAlignment="1" applyProtection="1">
      <alignment horizontal="center"/>
      <protection locked="0"/>
    </xf>
    <xf numFmtId="167" fontId="15" fillId="3" borderId="4" xfId="0" applyNumberFormat="1" applyFont="1" applyFill="1" applyBorder="1" applyAlignment="1">
      <alignment horizontal="center"/>
    </xf>
    <xf numFmtId="173" fontId="13" fillId="3" borderId="5" xfId="0" applyNumberFormat="1" applyFont="1" applyFill="1" applyBorder="1" applyAlignment="1">
      <alignment horizontal="center"/>
    </xf>
    <xf numFmtId="167" fontId="12" fillId="0" borderId="6" xfId="0" applyNumberFormat="1" applyFont="1" applyBorder="1" applyAlignment="1">
      <alignment horizontal="center"/>
    </xf>
    <xf numFmtId="167" fontId="12" fillId="4" borderId="0" xfId="0" applyNumberFormat="1" applyFont="1" applyFill="1" applyAlignment="1">
      <alignment horizontal="right"/>
    </xf>
    <xf numFmtId="167" fontId="12" fillId="4" borderId="0" xfId="0" applyNumberFormat="1" applyFont="1" applyFill="1"/>
    <xf numFmtId="167" fontId="12" fillId="4" borderId="7" xfId="0" applyNumberFormat="1" applyFont="1" applyFill="1" applyBorder="1"/>
    <xf numFmtId="167" fontId="12" fillId="4" borderId="7" xfId="0" applyNumberFormat="1" applyFont="1" applyFill="1" applyBorder="1" applyAlignment="1">
      <alignment horizontal="right"/>
    </xf>
    <xf numFmtId="167" fontId="15" fillId="4" borderId="0" xfId="0" applyNumberFormat="1" applyFont="1" applyFill="1" applyAlignment="1">
      <alignment horizontal="right"/>
    </xf>
    <xf numFmtId="167" fontId="12" fillId="3" borderId="0" xfId="0" applyNumberFormat="1" applyFont="1" applyFill="1" applyAlignment="1">
      <alignment horizontal="left" wrapText="1"/>
    </xf>
    <xf numFmtId="167" fontId="12" fillId="3" borderId="0" xfId="0" applyNumberFormat="1" applyFont="1" applyFill="1" applyAlignment="1">
      <alignment horizontal="right"/>
    </xf>
    <xf numFmtId="167" fontId="15" fillId="3" borderId="8" xfId="0" applyNumberFormat="1" applyFont="1" applyFill="1" applyBorder="1" applyAlignment="1">
      <alignment horizontal="center" wrapText="1"/>
    </xf>
    <xf numFmtId="167" fontId="12" fillId="5" borderId="9" xfId="0" applyNumberFormat="1" applyFont="1" applyFill="1" applyBorder="1" applyAlignment="1">
      <alignment horizontal="left" wrapText="1"/>
    </xf>
    <xf numFmtId="167" fontId="12" fillId="5" borderId="9" xfId="0" applyNumberFormat="1" applyFont="1" applyFill="1" applyBorder="1" applyAlignment="1">
      <alignment horizontal="right"/>
    </xf>
    <xf numFmtId="167" fontId="15" fillId="5" borderId="10" xfId="0" applyNumberFormat="1" applyFont="1" applyFill="1" applyBorder="1" applyAlignment="1">
      <alignment horizontal="center" wrapText="1"/>
    </xf>
    <xf numFmtId="167" fontId="2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167" fontId="28" fillId="0" borderId="0" xfId="0" applyNumberFormat="1" applyFont="1"/>
    <xf numFmtId="167" fontId="14" fillId="0" borderId="3" xfId="0" applyNumberFormat="1" applyFont="1" applyBorder="1" applyAlignment="1" applyProtection="1">
      <alignment horizontal="center"/>
      <protection locked="0"/>
    </xf>
    <xf numFmtId="3" fontId="14" fillId="3" borderId="0" xfId="0" applyNumberFormat="1" applyFont="1" applyFill="1" applyAlignment="1" applyProtection="1">
      <alignment horizontal="center" vertical="center"/>
      <protection locked="0"/>
    </xf>
    <xf numFmtId="167" fontId="14" fillId="0" borderId="6" xfId="0" applyNumberFormat="1" applyFont="1" applyBorder="1" applyAlignment="1" applyProtection="1">
      <alignment horizontal="center"/>
      <protection locked="0"/>
    </xf>
    <xf numFmtId="167" fontId="16" fillId="6" borderId="4" xfId="0" applyNumberFormat="1" applyFont="1" applyFill="1" applyBorder="1"/>
    <xf numFmtId="167" fontId="0" fillId="6" borderId="0" xfId="0" applyNumberFormat="1" applyFill="1"/>
    <xf numFmtId="167" fontId="1" fillId="6" borderId="8" xfId="0" applyNumberFormat="1" applyFont="1" applyFill="1" applyBorder="1"/>
    <xf numFmtId="0" fontId="0" fillId="6" borderId="0" xfId="0" applyFill="1"/>
    <xf numFmtId="167" fontId="29" fillId="6" borderId="0" xfId="0" applyNumberFormat="1" applyFont="1" applyFill="1" applyAlignment="1">
      <alignment horizontal="center"/>
    </xf>
    <xf numFmtId="3" fontId="13" fillId="4" borderId="0" xfId="0" applyNumberFormat="1" applyFont="1" applyFill="1" applyAlignment="1">
      <alignment horizontal="center"/>
    </xf>
    <xf numFmtId="174" fontId="14" fillId="4" borderId="0" xfId="0" applyNumberFormat="1" applyFont="1" applyFill="1" applyAlignment="1" applyProtection="1">
      <alignment horizontal="center"/>
      <protection locked="0"/>
    </xf>
    <xf numFmtId="167" fontId="14" fillId="4" borderId="0" xfId="0" applyNumberFormat="1" applyFont="1" applyFill="1" applyAlignment="1" applyProtection="1">
      <alignment horizontal="center"/>
      <protection locked="0"/>
    </xf>
    <xf numFmtId="167" fontId="15" fillId="4" borderId="0" xfId="0" applyNumberFormat="1" applyFont="1" applyFill="1" applyAlignment="1">
      <alignment horizontal="center"/>
    </xf>
    <xf numFmtId="173" fontId="13" fillId="4" borderId="8" xfId="0" applyNumberFormat="1" applyFont="1" applyFill="1" applyBorder="1" applyAlignment="1">
      <alignment horizontal="center"/>
    </xf>
    <xf numFmtId="167" fontId="0" fillId="4" borderId="11" xfId="0" applyNumberFormat="1" applyFill="1" applyBorder="1"/>
    <xf numFmtId="167" fontId="30" fillId="4" borderId="0" xfId="0" applyNumberFormat="1" applyFont="1" applyFill="1" applyAlignment="1" applyProtection="1">
      <alignment horizontal="center"/>
      <protection locked="0"/>
    </xf>
    <xf numFmtId="167" fontId="5" fillId="4" borderId="0" xfId="0" applyNumberFormat="1" applyFont="1" applyFill="1" applyAlignment="1">
      <alignment horizontal="center"/>
    </xf>
    <xf numFmtId="167" fontId="30" fillId="4" borderId="0" xfId="0" applyNumberFormat="1" applyFont="1" applyFill="1" applyAlignment="1">
      <alignment horizontal="center"/>
    </xf>
    <xf numFmtId="167" fontId="1" fillId="4" borderId="0" xfId="0" applyNumberFormat="1" applyFont="1" applyFill="1"/>
    <xf numFmtId="167" fontId="6" fillId="4" borderId="0" xfId="0" applyNumberFormat="1" applyFont="1" applyFill="1" applyAlignment="1">
      <alignment horizontal="left"/>
    </xf>
    <xf numFmtId="167" fontId="1" fillId="4" borderId="8" xfId="0" applyNumberFormat="1" applyFont="1" applyFill="1" applyBorder="1"/>
    <xf numFmtId="167" fontId="15" fillId="5" borderId="9" xfId="0" applyNumberFormat="1" applyFont="1" applyFill="1" applyBorder="1" applyAlignment="1">
      <alignment horizontal="right"/>
    </xf>
    <xf numFmtId="174" fontId="14" fillId="5" borderId="9" xfId="0" applyNumberFormat="1" applyFont="1" applyFill="1" applyBorder="1" applyAlignment="1" applyProtection="1">
      <alignment horizontal="center"/>
      <protection locked="0"/>
    </xf>
    <xf numFmtId="167" fontId="14" fillId="5" borderId="9" xfId="0" applyNumberFormat="1" applyFont="1" applyFill="1" applyBorder="1" applyAlignment="1" applyProtection="1">
      <alignment horizontal="center"/>
      <protection locked="0"/>
    </xf>
    <xf numFmtId="167" fontId="15" fillId="5" borderId="9" xfId="0" applyNumberFormat="1" applyFont="1" applyFill="1" applyBorder="1" applyAlignment="1">
      <alignment horizontal="center"/>
    </xf>
    <xf numFmtId="173" fontId="13" fillId="5" borderId="10" xfId="0" applyNumberFormat="1" applyFont="1" applyFill="1" applyBorder="1" applyAlignment="1">
      <alignment horizontal="center"/>
    </xf>
    <xf numFmtId="10" fontId="5" fillId="4" borderId="8" xfId="0" applyNumberFormat="1" applyFont="1" applyFill="1" applyBorder="1" applyAlignment="1">
      <alignment horizontal="right"/>
    </xf>
    <xf numFmtId="10" fontId="5" fillId="4" borderId="12" xfId="0" applyNumberFormat="1" applyFont="1" applyFill="1" applyBorder="1" applyAlignment="1">
      <alignment horizontal="right"/>
    </xf>
    <xf numFmtId="167" fontId="13" fillId="3" borderId="13" xfId="0" applyNumberFormat="1" applyFont="1" applyFill="1" applyBorder="1" applyAlignment="1">
      <alignment horizontal="left" indent="2"/>
    </xf>
    <xf numFmtId="167" fontId="12" fillId="4" borderId="11" xfId="0" applyNumberFormat="1" applyFont="1" applyFill="1" applyBorder="1" applyAlignment="1">
      <alignment horizontal="left" wrapText="1" indent="2"/>
    </xf>
    <xf numFmtId="167" fontId="13" fillId="5" borderId="14" xfId="0" applyNumberFormat="1" applyFont="1" applyFill="1" applyBorder="1" applyAlignment="1">
      <alignment horizontal="left" indent="2"/>
    </xf>
    <xf numFmtId="167" fontId="13" fillId="3" borderId="11" xfId="0" applyNumberFormat="1" applyFont="1" applyFill="1" applyBorder="1" applyAlignment="1">
      <alignment horizontal="left" indent="2"/>
    </xf>
    <xf numFmtId="167" fontId="2" fillId="0" borderId="0" xfId="0" applyNumberFormat="1" applyFont="1"/>
    <xf numFmtId="174" fontId="2" fillId="0" borderId="0" xfId="0" applyNumberFormat="1" applyFont="1"/>
    <xf numFmtId="165" fontId="2" fillId="0" borderId="0" xfId="0" applyNumberFormat="1" applyFont="1"/>
    <xf numFmtId="167" fontId="1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 wrapText="1"/>
    </xf>
    <xf numFmtId="167" fontId="12" fillId="0" borderId="15" xfId="0" applyNumberFormat="1" applyFont="1" applyBorder="1" applyAlignment="1">
      <alignment wrapText="1"/>
    </xf>
    <xf numFmtId="0" fontId="31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left" indent="1"/>
    </xf>
    <xf numFmtId="3" fontId="14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/>
    <xf numFmtId="164" fontId="27" fillId="6" borderId="9" xfId="0" applyNumberFormat="1" applyFont="1" applyFill="1" applyBorder="1" applyAlignment="1">
      <alignment horizontal="left"/>
    </xf>
    <xf numFmtId="167" fontId="1" fillId="6" borderId="10" xfId="0" applyNumberFormat="1" applyFont="1" applyFill="1" applyBorder="1"/>
    <xf numFmtId="167" fontId="1" fillId="7" borderId="11" xfId="0" applyNumberFormat="1" applyFont="1" applyFill="1" applyBorder="1"/>
    <xf numFmtId="167" fontId="5" fillId="7" borderId="0" xfId="0" applyNumberFormat="1" applyFont="1" applyFill="1" applyAlignment="1">
      <alignment horizontal="right"/>
    </xf>
    <xf numFmtId="167" fontId="13" fillId="7" borderId="0" xfId="0" applyNumberFormat="1" applyFont="1" applyFill="1" applyAlignment="1">
      <alignment horizontal="right"/>
    </xf>
    <xf numFmtId="9" fontId="13" fillId="7" borderId="8" xfId="5" applyFont="1" applyFill="1" applyBorder="1" applyProtection="1"/>
    <xf numFmtId="167" fontId="32" fillId="6" borderId="0" xfId="0" applyNumberFormat="1" applyFont="1" applyFill="1" applyAlignment="1">
      <alignment horizontal="right"/>
    </xf>
    <xf numFmtId="167" fontId="32" fillId="6" borderId="0" xfId="0" applyNumberFormat="1" applyFont="1" applyFill="1"/>
    <xf numFmtId="167" fontId="22" fillId="0" borderId="0" xfId="0" applyNumberFormat="1" applyFont="1"/>
    <xf numFmtId="167" fontId="18" fillId="0" borderId="0" xfId="0" applyNumberFormat="1" applyFont="1" applyAlignment="1">
      <alignment horizontal="right"/>
    </xf>
    <xf numFmtId="168" fontId="23" fillId="0" borderId="0" xfId="0" applyNumberFormat="1" applyFont="1" applyProtection="1">
      <protection locked="0"/>
    </xf>
    <xf numFmtId="167" fontId="18" fillId="0" borderId="0" xfId="0" applyNumberFormat="1" applyFont="1" applyAlignment="1">
      <alignment horizontal="left"/>
    </xf>
    <xf numFmtId="168" fontId="18" fillId="0" borderId="0" xfId="0" applyNumberFormat="1" applyFont="1" applyAlignment="1">
      <alignment horizontal="left"/>
    </xf>
    <xf numFmtId="168" fontId="22" fillId="0" borderId="0" xfId="0" applyNumberFormat="1" applyFont="1"/>
    <xf numFmtId="0" fontId="0" fillId="0" borderId="7" xfId="0" applyBorder="1"/>
    <xf numFmtId="0" fontId="33" fillId="0" borderId="7" xfId="0" applyFont="1" applyBorder="1" applyAlignment="1">
      <alignment horizontal="right"/>
    </xf>
    <xf numFmtId="1" fontId="0" fillId="0" borderId="0" xfId="0" applyNumberFormat="1"/>
    <xf numFmtId="164" fontId="0" fillId="0" borderId="0" xfId="0" applyNumberFormat="1"/>
    <xf numFmtId="165" fontId="1" fillId="0" borderId="4" xfId="4" applyFont="1" applyBorder="1" applyAlignment="1">
      <alignment vertical="center" wrapText="1"/>
    </xf>
    <xf numFmtId="0" fontId="33" fillId="0" borderId="7" xfId="0" applyFont="1" applyBorder="1"/>
    <xf numFmtId="165" fontId="1" fillId="0" borderId="0" xfId="4" applyFont="1" applyAlignment="1">
      <alignment horizontal="left" vertical="center" wrapText="1"/>
    </xf>
    <xf numFmtId="169" fontId="5" fillId="5" borderId="9" xfId="0" applyNumberFormat="1" applyFont="1" applyFill="1" applyBorder="1" applyAlignment="1">
      <alignment horizontal="center"/>
    </xf>
    <xf numFmtId="170" fontId="5" fillId="5" borderId="9" xfId="1" applyNumberFormat="1" applyFont="1" applyFill="1" applyBorder="1" applyAlignment="1" applyProtection="1">
      <alignment horizontal="center"/>
    </xf>
    <xf numFmtId="168" fontId="32" fillId="6" borderId="16" xfId="0" applyNumberFormat="1" applyFont="1" applyFill="1" applyBorder="1" applyAlignment="1">
      <alignment horizontal="center" vertical="center"/>
    </xf>
    <xf numFmtId="168" fontId="32" fillId="6" borderId="4" xfId="0" applyNumberFormat="1" applyFont="1" applyFill="1" applyBorder="1" applyAlignment="1">
      <alignment horizontal="center" vertical="center"/>
    </xf>
    <xf numFmtId="168" fontId="32" fillId="6" borderId="22" xfId="0" applyNumberFormat="1" applyFont="1" applyFill="1" applyBorder="1" applyAlignment="1">
      <alignment horizontal="center" vertical="center"/>
    </xf>
    <xf numFmtId="167" fontId="32" fillId="6" borderId="23" xfId="0" applyNumberFormat="1" applyFont="1" applyFill="1" applyBorder="1" applyAlignment="1">
      <alignment horizontal="left" vertical="center"/>
    </xf>
    <xf numFmtId="167" fontId="32" fillId="6" borderId="17" xfId="0" applyNumberFormat="1" applyFont="1" applyFill="1" applyBorder="1" applyAlignment="1">
      <alignment horizontal="left" vertical="center"/>
    </xf>
    <xf numFmtId="167" fontId="32" fillId="6" borderId="18" xfId="0" applyNumberFormat="1" applyFont="1" applyFill="1" applyBorder="1" applyAlignment="1">
      <alignment horizontal="left" vertical="center"/>
    </xf>
    <xf numFmtId="167" fontId="12" fillId="0" borderId="13" xfId="0" applyNumberFormat="1" applyFont="1" applyBorder="1" applyAlignment="1">
      <alignment horizontal="left" wrapText="1"/>
    </xf>
    <xf numFmtId="167" fontId="12" fillId="0" borderId="22" xfId="0" applyNumberFormat="1" applyFont="1" applyBorder="1" applyAlignment="1">
      <alignment horizontal="left" wrapText="1"/>
    </xf>
    <xf numFmtId="167" fontId="12" fillId="0" borderId="24" xfId="0" applyNumberFormat="1" applyFont="1" applyBorder="1" applyAlignment="1">
      <alignment horizontal="left" wrapText="1"/>
    </xf>
    <xf numFmtId="167" fontId="12" fillId="0" borderId="25" xfId="0" applyNumberFormat="1" applyFont="1" applyBorder="1" applyAlignment="1">
      <alignment horizontal="left" wrapText="1"/>
    </xf>
    <xf numFmtId="169" fontId="5" fillId="4" borderId="0" xfId="0" applyNumberFormat="1" applyFont="1" applyFill="1" applyAlignment="1">
      <alignment horizontal="center"/>
    </xf>
    <xf numFmtId="169" fontId="5" fillId="4" borderId="7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167" fontId="32" fillId="6" borderId="26" xfId="0" applyNumberFormat="1" applyFont="1" applyFill="1" applyBorder="1" applyAlignment="1">
      <alignment horizontal="left" vertical="center"/>
    </xf>
    <xf numFmtId="167" fontId="32" fillId="6" borderId="27" xfId="0" applyNumberFormat="1" applyFont="1" applyFill="1" applyBorder="1" applyAlignment="1">
      <alignment horizontal="left" vertical="center"/>
    </xf>
    <xf numFmtId="167" fontId="32" fillId="6" borderId="28" xfId="0" applyNumberFormat="1" applyFont="1" applyFill="1" applyBorder="1" applyAlignment="1">
      <alignment horizontal="left" vertical="center"/>
    </xf>
    <xf numFmtId="167" fontId="16" fillId="3" borderId="0" xfId="0" applyNumberFormat="1" applyFont="1" applyFill="1" applyAlignment="1">
      <alignment horizontal="left" indent="4"/>
    </xf>
    <xf numFmtId="167" fontId="13" fillId="0" borderId="30" xfId="0" applyNumberFormat="1" applyFont="1" applyBorder="1" applyAlignment="1">
      <alignment horizontal="center"/>
    </xf>
    <xf numFmtId="167" fontId="13" fillId="0" borderId="31" xfId="0" applyNumberFormat="1" applyFont="1" applyBorder="1" applyAlignment="1">
      <alignment horizontal="center"/>
    </xf>
    <xf numFmtId="167" fontId="13" fillId="0" borderId="19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 wrapText="1"/>
    </xf>
    <xf numFmtId="167" fontId="12" fillId="0" borderId="6" xfId="0" applyNumberFormat="1" applyFont="1" applyBorder="1" applyAlignment="1">
      <alignment horizontal="center" wrapText="1"/>
    </xf>
    <xf numFmtId="167" fontId="13" fillId="0" borderId="17" xfId="0" applyNumberFormat="1" applyFont="1" applyBorder="1" applyAlignment="1">
      <alignment horizontal="center"/>
    </xf>
    <xf numFmtId="167" fontId="13" fillId="0" borderId="18" xfId="0" applyNumberFormat="1" applyFont="1" applyBorder="1" applyAlignment="1">
      <alignment horizontal="center"/>
    </xf>
    <xf numFmtId="167" fontId="16" fillId="4" borderId="0" xfId="0" applyNumberFormat="1" applyFont="1" applyFill="1" applyAlignment="1">
      <alignment horizontal="left" indent="4"/>
    </xf>
    <xf numFmtId="167" fontId="16" fillId="5" borderId="9" xfId="0" applyNumberFormat="1" applyFont="1" applyFill="1" applyBorder="1" applyAlignment="1">
      <alignment horizontal="left" indent="4"/>
    </xf>
    <xf numFmtId="167" fontId="12" fillId="0" borderId="19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4" fillId="0" borderId="19" xfId="0" applyNumberFormat="1" applyFont="1" applyBorder="1" applyAlignment="1" applyProtection="1">
      <alignment horizontal="center"/>
      <protection locked="0"/>
    </xf>
    <xf numFmtId="167" fontId="14" fillId="0" borderId="3" xfId="0" applyNumberFormat="1" applyFont="1" applyBorder="1" applyAlignment="1" applyProtection="1">
      <alignment horizontal="center"/>
      <protection locked="0"/>
    </xf>
    <xf numFmtId="167" fontId="3" fillId="0" borderId="20" xfId="0" applyNumberFormat="1" applyFont="1" applyBorder="1" applyAlignment="1">
      <alignment horizontal="center" wrapText="1"/>
    </xf>
    <xf numFmtId="167" fontId="3" fillId="0" borderId="15" xfId="0" applyNumberFormat="1" applyFont="1" applyBorder="1" applyAlignment="1">
      <alignment horizontal="center" wrapText="1"/>
    </xf>
    <xf numFmtId="167" fontId="3" fillId="0" borderId="21" xfId="0" applyNumberFormat="1" applyFont="1" applyBorder="1" applyAlignment="1">
      <alignment horizontal="center" wrapText="1"/>
    </xf>
    <xf numFmtId="167" fontId="3" fillId="0" borderId="6" xfId="0" applyNumberFormat="1" applyFont="1" applyBorder="1" applyAlignment="1">
      <alignment horizontal="center" wrapText="1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8" xfId="0" applyNumberFormat="1" applyFont="1" applyBorder="1" applyAlignment="1" applyProtection="1">
      <alignment horizontal="center" vertical="center"/>
      <protection locked="0"/>
    </xf>
    <xf numFmtId="3" fontId="20" fillId="0" borderId="14" xfId="0" applyNumberFormat="1" applyFont="1" applyBorder="1" applyAlignment="1" applyProtection="1">
      <alignment horizontal="center" vertical="center"/>
      <protection locked="0"/>
    </xf>
    <xf numFmtId="3" fontId="20" fillId="0" borderId="10" xfId="0" applyNumberFormat="1" applyFont="1" applyBorder="1" applyAlignment="1" applyProtection="1">
      <alignment horizontal="center" vertical="center"/>
      <protection locked="0"/>
    </xf>
    <xf numFmtId="165" fontId="1" fillId="0" borderId="4" xfId="4" applyFont="1" applyBorder="1" applyAlignment="1">
      <alignment horizontal="left" vertical="center" wrapText="1"/>
    </xf>
    <xf numFmtId="165" fontId="1" fillId="0" borderId="0" xfId="4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wrapText="1"/>
    </xf>
    <xf numFmtId="167" fontId="12" fillId="0" borderId="20" xfId="0" applyNumberFormat="1" applyFont="1" applyBorder="1" applyAlignment="1">
      <alignment horizontal="left" wrapText="1"/>
    </xf>
    <xf numFmtId="167" fontId="12" fillId="0" borderId="29" xfId="0" applyNumberFormat="1" applyFont="1" applyBorder="1" applyAlignment="1">
      <alignment horizontal="left" wrapText="1"/>
    </xf>
    <xf numFmtId="170" fontId="5" fillId="4" borderId="7" xfId="1" applyNumberFormat="1" applyFont="1" applyFill="1" applyBorder="1" applyAlignment="1" applyProtection="1">
      <alignment horizontal="center"/>
    </xf>
    <xf numFmtId="175" fontId="13" fillId="7" borderId="0" xfId="0" applyNumberFormat="1" applyFont="1" applyFill="1" applyAlignment="1">
      <alignment horizontal="center"/>
    </xf>
    <xf numFmtId="169" fontId="5" fillId="3" borderId="0" xfId="0" applyNumberFormat="1" applyFont="1" applyFill="1" applyAlignment="1">
      <alignment horizontal="center"/>
    </xf>
    <xf numFmtId="170" fontId="5" fillId="3" borderId="0" xfId="1" applyNumberFormat="1" applyFont="1" applyFill="1" applyBorder="1" applyAlignment="1" applyProtection="1">
      <alignment horizontal="center"/>
    </xf>
    <xf numFmtId="170" fontId="5" fillId="4" borderId="0" xfId="1" applyNumberFormat="1" applyFont="1" applyFill="1" applyBorder="1" applyAlignment="1" applyProtection="1">
      <alignment horizontal="center"/>
    </xf>
    <xf numFmtId="2" fontId="13" fillId="7" borderId="0" xfId="0" applyNumberFormat="1" applyFont="1" applyFill="1" applyAlignment="1">
      <alignment horizontal="center"/>
    </xf>
    <xf numFmtId="0" fontId="35" fillId="0" borderId="0" xfId="6" applyAlignment="1">
      <alignment horizontal="left" vertical="center"/>
    </xf>
  </cellXfs>
  <cellStyles count="7">
    <cellStyle name="Comma" xfId="1" builtinId="3"/>
    <cellStyle name="Hyperlink" xfId="6" builtinId="8"/>
    <cellStyle name="Hyperlink 2" xfId="2" xr:uid="{00000000-0005-0000-0000-000001000000}"/>
    <cellStyle name="Normal" xfId="0" builtinId="0"/>
    <cellStyle name="Normal 3" xfId="3" xr:uid="{00000000-0005-0000-0000-000003000000}"/>
    <cellStyle name="Normal_Farrow-Wean 500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857710720511057E-3"/>
          <c:y val="1.4337753239214537E-3"/>
          <c:w val="0.99891424481030777"/>
          <c:h val="0.98839093586584115"/>
        </c:manualLayout>
      </c:layout>
      <c:pie3DChart>
        <c:varyColors val="1"/>
        <c:ser>
          <c:idx val="0"/>
          <c:order val="0"/>
          <c:explosion val="55"/>
          <c:dPt>
            <c:idx val="0"/>
            <c:bubble3D val="0"/>
            <c:explosion val="13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854-4A5C-805A-C4F4D81A1A6A}"/>
              </c:ext>
            </c:extLst>
          </c:dPt>
          <c:dPt>
            <c:idx val="1"/>
            <c:bubble3D val="0"/>
            <c:explosion val="8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854-4A5C-805A-C4F4D81A1A6A}"/>
              </c:ext>
            </c:extLst>
          </c:dPt>
          <c:dPt>
            <c:idx val="2"/>
            <c:bubble3D val="0"/>
            <c:explosion val="12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02-5854-4A5C-805A-C4F4D81A1A6A}"/>
              </c:ext>
            </c:extLst>
          </c:dPt>
          <c:dPt>
            <c:idx val="3"/>
            <c:bubble3D val="0"/>
            <c:explosion val="12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854-4A5C-805A-C4F4D81A1A6A}"/>
              </c:ext>
            </c:extLst>
          </c:dPt>
          <c:dPt>
            <c:idx val="4"/>
            <c:bubble3D val="0"/>
            <c:explosion val="14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854-4A5C-805A-C4F4D81A1A6A}"/>
              </c:ext>
            </c:extLst>
          </c:dPt>
          <c:dPt>
            <c:idx val="5"/>
            <c:bubble3D val="0"/>
            <c:explosion val="14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854-4A5C-805A-C4F4D81A1A6A}"/>
              </c:ext>
            </c:extLst>
          </c:dPt>
          <c:dPt>
            <c:idx val="6"/>
            <c:bubble3D val="0"/>
            <c:explosion val="14"/>
            <c:spPr>
              <a:solidFill>
                <a:srgbClr val="39471D"/>
              </a:solidFill>
            </c:spPr>
            <c:extLst>
              <c:ext xmlns:c16="http://schemas.microsoft.com/office/drawing/2014/chart" uri="{C3380CC4-5D6E-409C-BE32-E72D297353CC}">
                <c16:uniqueId val="{00000006-5854-4A5C-805A-C4F4D81A1A6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854-4A5C-805A-C4F4D81A1A6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854-4A5C-805A-C4F4D81A1A6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854-4A5C-805A-C4F4D81A1A6A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854-4A5C-805A-C4F4D81A1A6A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854-4A5C-805A-C4F4D81A1A6A}"/>
                </c:ext>
              </c:extLst>
            </c:dLbl>
            <c:dLbl>
              <c:idx val="5"/>
              <c:layout>
                <c:manualLayout>
                  <c:x val="5.8310463012511783E-2"/>
                  <c:y val="-5.7509166316042554E-2"/>
                </c:manualLayout>
              </c:layout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4-4A5C-805A-C4F4D81A1A6A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FFFFFF"/>
                      </a:solidFill>
                      <a:latin typeface="Arial Narrow" pitchFamily="34" charset="0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854-4A5C-805A-C4F4D81A1A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FFFFFF"/>
                    </a:solidFill>
                    <a:latin typeface="Arial Narrow" pitchFamily="34" charset="0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Calculations!$B$17:$C$23</c:f>
              <c:multiLvlStrCache>
                <c:ptCount val="7"/>
                <c:lvl>
                  <c:pt idx="0">
                    <c:v>Nitrogen (82-0-0-0)</c:v>
                  </c:pt>
                  <c:pt idx="1">
                    <c:v>Nitrogen (46-0-0-0)</c:v>
                  </c:pt>
                  <c:pt idx="2">
                    <c:v>Phosphate (11-52-0-0)</c:v>
                  </c:pt>
                  <c:pt idx="3">
                    <c:v>Potash (0-0-60-0)</c:v>
                  </c:pt>
                  <c:pt idx="4">
                    <c:v>Sulphur (20.5-0-0-24)</c:v>
                  </c:pt>
                  <c:pt idx="5">
                    <c:v>Blend charge</c:v>
                  </c:pt>
                  <c:pt idx="6">
                    <c:v>Nitrogen (28-0-0-0)</c:v>
                  </c:pt>
                </c:lvl>
                <c:lvl>
                  <c:pt idx="0">
                    <c:v>Pre-seeding</c:v>
                  </c:pt>
                  <c:pt idx="1">
                    <c:v>Blend</c:v>
                  </c:pt>
                  <c:pt idx="2">
                    <c:v> </c:v>
                  </c:pt>
                  <c:pt idx="6">
                    <c:v>Supplemental</c:v>
                  </c:pt>
                </c:lvl>
              </c:multiLvlStrCache>
            </c:multiLvlStrRef>
          </c:cat>
          <c:val>
            <c:numRef>
              <c:f>Calculations!$E$17:$E$23</c:f>
              <c:numCache>
                <c:formatCode>"$"#,##0.00</c:formatCode>
                <c:ptCount val="7"/>
                <c:pt idx="0">
                  <c:v>57.529757087072795</c:v>
                </c:pt>
                <c:pt idx="1">
                  <c:v>3.6243437078236607</c:v>
                </c:pt>
                <c:pt idx="2">
                  <c:v>37.509231414389546</c:v>
                </c:pt>
                <c:pt idx="3">
                  <c:v>0</c:v>
                </c:pt>
                <c:pt idx="4">
                  <c:v>22.680000390096009</c:v>
                </c:pt>
                <c:pt idx="5">
                  <c:v>0</c:v>
                </c:pt>
                <c:pt idx="6">
                  <c:v>8.1000001393200005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4-4A5C-805A-C4F4D81A1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8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28575</xdr:rowOff>
    </xdr:from>
    <xdr:to>
      <xdr:col>7</xdr:col>
      <xdr:colOff>895350</xdr:colOff>
      <xdr:row>0</xdr:row>
      <xdr:rowOff>381000</xdr:rowOff>
    </xdr:to>
    <xdr:pic>
      <xdr:nvPicPr>
        <xdr:cNvPr id="1570" name="Picture 6" descr="GovMB_Logo_black-1374 10percent.jpg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8575"/>
          <a:ext cx="18097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33</xdr:row>
      <xdr:rowOff>0</xdr:rowOff>
    </xdr:from>
    <xdr:to>
      <xdr:col>8</xdr:col>
      <xdr:colOff>9525</xdr:colOff>
      <xdr:row>34</xdr:row>
      <xdr:rowOff>0</xdr:rowOff>
    </xdr:to>
    <xdr:graphicFrame macro="">
      <xdr:nvGraphicFramePr>
        <xdr:cNvPr id="1571" name="Chart 6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247650</xdr:colOff>
      <xdr:row>41</xdr:row>
      <xdr:rowOff>57150</xdr:rowOff>
    </xdr:from>
    <xdr:to>
      <xdr:col>6</xdr:col>
      <xdr:colOff>114300</xdr:colOff>
      <xdr:row>47</xdr:row>
      <xdr:rowOff>1829</xdr:rowOff>
    </xdr:to>
    <xdr:pic>
      <xdr:nvPicPr>
        <xdr:cNvPr id="6" name="Picture 5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0896600"/>
          <a:ext cx="4114800" cy="916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mb.ca/agriculture/farm-management/cost-production/fertilizer-cos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EA41"/>
  <sheetViews>
    <sheetView tabSelected="1" topLeftCell="A34" zoomScaleNormal="100" workbookViewId="0">
      <selection activeCell="A42" sqref="A42"/>
    </sheetView>
  </sheetViews>
  <sheetFormatPr defaultRowHeight="12.3" x14ac:dyDescent="0.4"/>
  <cols>
    <col min="1" max="1" width="26.5546875" customWidth="1"/>
    <col min="2" max="2" width="14.83203125" customWidth="1"/>
    <col min="3" max="5" width="11.71875" customWidth="1"/>
    <col min="6" max="8" width="13.71875" customWidth="1"/>
    <col min="9" max="11" width="9.1640625" customWidth="1"/>
    <col min="12" max="12" width="12.44140625" customWidth="1"/>
    <col min="13" max="13" width="14" customWidth="1"/>
    <col min="14" max="14" width="10.5546875" customWidth="1"/>
    <col min="15" max="19" width="9.1640625" customWidth="1"/>
  </cols>
  <sheetData>
    <row r="1" spans="1:131" ht="42.75" customHeight="1" x14ac:dyDescent="0.85">
      <c r="A1" s="3" t="s">
        <v>32</v>
      </c>
      <c r="B1" s="1"/>
      <c r="C1" s="2"/>
      <c r="D1" s="2"/>
      <c r="E1" s="2"/>
      <c r="F1" s="2"/>
    </row>
    <row r="2" spans="1:131" ht="22.5" x14ac:dyDescent="0.75">
      <c r="A2" s="135" t="s">
        <v>33</v>
      </c>
      <c r="B2" s="136"/>
      <c r="C2" s="136"/>
      <c r="D2" s="136"/>
      <c r="E2" s="136"/>
      <c r="F2" s="136"/>
      <c r="G2" s="95" t="s">
        <v>0</v>
      </c>
      <c r="H2" s="96">
        <f ca="1">TODAY()</f>
        <v>45495</v>
      </c>
    </row>
    <row r="3" spans="1:131" ht="18" customHeight="1" thickBot="1" x14ac:dyDescent="0.45">
      <c r="A3" s="166" t="s">
        <v>37</v>
      </c>
      <c r="B3" s="166"/>
      <c r="C3" s="166"/>
      <c r="D3" s="166"/>
      <c r="E3" s="166"/>
      <c r="F3" s="166"/>
      <c r="G3" s="166"/>
      <c r="H3" s="166"/>
    </row>
    <row r="4" spans="1:131" ht="18" customHeight="1" thickBot="1" x14ac:dyDescent="0.45">
      <c r="A4" s="137" t="s">
        <v>34</v>
      </c>
      <c r="B4" s="138"/>
      <c r="C4" s="138"/>
      <c r="D4" s="138"/>
      <c r="E4" s="138"/>
      <c r="F4" s="138"/>
      <c r="G4" s="138"/>
      <c r="H4" s="139"/>
    </row>
    <row r="5" spans="1:131" s="5" customFormat="1" ht="15" x14ac:dyDescent="0.5">
      <c r="A5" s="154" t="s">
        <v>18</v>
      </c>
      <c r="B5" s="155"/>
      <c r="C5" s="146" t="s">
        <v>17</v>
      </c>
      <c r="D5" s="146"/>
      <c r="E5" s="146"/>
      <c r="F5" s="146"/>
      <c r="G5" s="146"/>
      <c r="H5" s="147"/>
      <c r="K5" s="4"/>
      <c r="T5" s="11"/>
      <c r="U5" s="4"/>
      <c r="V5" s="6"/>
      <c r="W5" s="4"/>
      <c r="X5" s="7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6"/>
      <c r="BD5" s="6"/>
      <c r="BE5" s="9"/>
      <c r="BF5" s="7"/>
      <c r="BG5" s="7"/>
      <c r="BH5" s="7"/>
      <c r="BI5" s="9"/>
      <c r="BJ5" s="9"/>
      <c r="BK5" s="4"/>
      <c r="BL5" s="4"/>
      <c r="BM5" s="4"/>
      <c r="CL5" s="4"/>
      <c r="CM5" s="4"/>
      <c r="CN5" s="7"/>
      <c r="CO5" s="7"/>
      <c r="CP5" s="4"/>
      <c r="CQ5" s="4"/>
      <c r="CR5" s="4"/>
      <c r="CS5" s="4"/>
      <c r="CT5" s="4"/>
    </row>
    <row r="6" spans="1:131" s="5" customFormat="1" ht="15" x14ac:dyDescent="0.5">
      <c r="A6" s="156"/>
      <c r="B6" s="157"/>
      <c r="C6" s="150" t="s">
        <v>1</v>
      </c>
      <c r="D6" s="151"/>
      <c r="E6" s="151"/>
      <c r="F6" s="27" t="s">
        <v>2</v>
      </c>
      <c r="G6" s="27" t="s">
        <v>3</v>
      </c>
      <c r="H6" s="42" t="s">
        <v>4</v>
      </c>
      <c r="K6" s="4"/>
      <c r="T6" s="11"/>
      <c r="U6" s="4"/>
      <c r="V6" s="10"/>
      <c r="W6" s="4"/>
      <c r="X6" s="7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7"/>
      <c r="AO6" s="4"/>
      <c r="AP6" s="6"/>
      <c r="AQ6" s="6"/>
      <c r="AR6" s="6"/>
      <c r="AS6" s="9"/>
      <c r="AT6" s="4"/>
      <c r="AU6" s="4"/>
      <c r="AV6" s="4"/>
      <c r="AW6" s="4"/>
      <c r="AX6" s="4"/>
      <c r="AY6" s="4"/>
      <c r="AZ6" s="4"/>
      <c r="BA6" s="4"/>
      <c r="BB6" s="4"/>
      <c r="BC6" s="6"/>
      <c r="BD6" s="7"/>
      <c r="BE6" s="7"/>
      <c r="BF6" s="7"/>
      <c r="BG6" s="12"/>
      <c r="BH6" s="7"/>
      <c r="BI6" s="4"/>
      <c r="BJ6" s="4"/>
      <c r="BK6" s="4"/>
      <c r="BL6" s="4"/>
      <c r="BM6" s="4"/>
      <c r="CL6" s="4"/>
      <c r="CM6" s="13"/>
      <c r="CN6" s="13"/>
      <c r="CO6" s="13"/>
      <c r="CP6" s="4"/>
      <c r="CQ6" s="4"/>
      <c r="CR6" s="4"/>
      <c r="CS6" s="4"/>
      <c r="CT6" s="4"/>
    </row>
    <row r="7" spans="1:131" s="5" customFormat="1" ht="15.75" customHeight="1" x14ac:dyDescent="0.5">
      <c r="A7" s="158">
        <v>160</v>
      </c>
      <c r="B7" s="159"/>
      <c r="C7" s="152">
        <v>120</v>
      </c>
      <c r="D7" s="153"/>
      <c r="E7" s="153"/>
      <c r="F7" s="58">
        <v>40</v>
      </c>
      <c r="G7" s="58">
        <v>0</v>
      </c>
      <c r="H7" s="60">
        <v>20</v>
      </c>
      <c r="K7" s="4"/>
      <c r="T7" s="11"/>
      <c r="U7" s="4"/>
      <c r="V7" s="10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7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7"/>
      <c r="BD7" s="4"/>
      <c r="BE7" s="4"/>
      <c r="BF7" s="7"/>
      <c r="BG7" s="4"/>
      <c r="BH7" s="4"/>
      <c r="BI7" s="4"/>
      <c r="BJ7" s="4"/>
      <c r="BK7" s="4"/>
      <c r="BL7" s="4"/>
      <c r="BM7" s="4"/>
      <c r="CL7" s="4"/>
      <c r="CM7" s="13"/>
      <c r="CN7" s="13"/>
      <c r="CO7" s="13"/>
      <c r="CP7" s="4"/>
      <c r="CQ7" s="4"/>
      <c r="CR7" s="4"/>
      <c r="CS7" s="4"/>
      <c r="CT7" s="4"/>
      <c r="EA7" s="14"/>
    </row>
    <row r="8" spans="1:131" s="5" customFormat="1" ht="15.75" customHeight="1" x14ac:dyDescent="0.5">
      <c r="A8" s="160"/>
      <c r="B8" s="161"/>
      <c r="C8" s="140" t="s">
        <v>26</v>
      </c>
      <c r="D8" s="140"/>
      <c r="E8" s="59">
        <v>80</v>
      </c>
      <c r="F8" s="61"/>
      <c r="G8" s="62"/>
      <c r="H8" s="63"/>
      <c r="J8" s="4"/>
      <c r="K8" s="4"/>
      <c r="T8" s="4"/>
      <c r="U8" s="10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7"/>
      <c r="BC8" s="4"/>
      <c r="BD8" s="4"/>
      <c r="BE8" s="7"/>
      <c r="BF8" s="4"/>
      <c r="BG8" s="4"/>
      <c r="BH8" s="4"/>
      <c r="BI8" s="4"/>
      <c r="BJ8" s="4"/>
      <c r="BK8" s="4"/>
      <c r="BL8" s="4"/>
      <c r="CK8" s="4"/>
      <c r="CL8" s="13"/>
      <c r="CM8" s="13"/>
      <c r="CN8" s="13"/>
      <c r="CO8" s="4"/>
      <c r="CP8" s="4"/>
      <c r="CQ8" s="4"/>
      <c r="CR8" s="4"/>
      <c r="CS8" s="4"/>
      <c r="DZ8" s="14"/>
    </row>
    <row r="9" spans="1:131" s="5" customFormat="1" ht="15.75" customHeight="1" x14ac:dyDescent="0.5">
      <c r="A9" s="160"/>
      <c r="B9" s="161"/>
      <c r="C9" s="148" t="s">
        <v>28</v>
      </c>
      <c r="D9" s="148"/>
      <c r="E9" s="66">
        <f>Calculations!C11</f>
        <v>30</v>
      </c>
      <c r="F9" s="64"/>
      <c r="G9" s="65"/>
      <c r="H9" s="63"/>
      <c r="J9" s="4"/>
      <c r="K9" s="4"/>
      <c r="T9" s="4"/>
      <c r="U9" s="10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7"/>
      <c r="BC9" s="4"/>
      <c r="BD9" s="4"/>
      <c r="BE9" s="7"/>
      <c r="BF9" s="4"/>
      <c r="BG9" s="4"/>
      <c r="BH9" s="4"/>
      <c r="BI9" s="4"/>
      <c r="BJ9" s="4"/>
      <c r="BK9" s="4"/>
      <c r="BL9" s="4"/>
      <c r="CK9" s="4"/>
      <c r="CL9" s="13"/>
      <c r="CM9" s="13"/>
      <c r="CN9" s="13"/>
      <c r="CO9" s="4"/>
      <c r="CP9" s="4"/>
      <c r="CQ9" s="4"/>
      <c r="CR9" s="4"/>
      <c r="CS9" s="4"/>
      <c r="DZ9" s="14"/>
    </row>
    <row r="10" spans="1:131" s="5" customFormat="1" ht="15.75" customHeight="1" thickBot="1" x14ac:dyDescent="0.55000000000000004">
      <c r="A10" s="162"/>
      <c r="B10" s="163"/>
      <c r="C10" s="149" t="s">
        <v>24</v>
      </c>
      <c r="D10" s="149"/>
      <c r="E10" s="98">
        <v>10</v>
      </c>
      <c r="F10" s="99"/>
      <c r="G10" s="100"/>
      <c r="H10" s="101"/>
      <c r="K10" s="4"/>
      <c r="T10" s="11"/>
      <c r="U10" s="4"/>
      <c r="V10" s="10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7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7"/>
      <c r="BD10" s="4"/>
      <c r="BE10" s="4"/>
      <c r="BF10" s="7"/>
      <c r="BG10" s="4"/>
      <c r="BH10" s="4"/>
      <c r="BI10" s="4"/>
      <c r="BJ10" s="4"/>
      <c r="BK10" s="4"/>
      <c r="BL10" s="4"/>
      <c r="BM10" s="4"/>
      <c r="CL10" s="4"/>
      <c r="CM10" s="13"/>
      <c r="CN10" s="13"/>
      <c r="CO10" s="13"/>
      <c r="CP10" s="4"/>
      <c r="CQ10" s="4"/>
      <c r="CR10" s="4"/>
      <c r="CS10" s="4"/>
      <c r="CT10" s="4"/>
      <c r="EA10" s="14"/>
    </row>
    <row r="11" spans="1:131" s="5" customFormat="1" ht="8.1" customHeight="1" thickBot="1" x14ac:dyDescent="0.55000000000000004">
      <c r="A11" s="54"/>
      <c r="B11" s="55"/>
      <c r="C11" s="55"/>
      <c r="E11" s="56"/>
      <c r="F11" s="56"/>
      <c r="G11" s="36"/>
      <c r="H11" s="57"/>
      <c r="T11" s="4"/>
      <c r="U11" s="4"/>
      <c r="V11" s="4"/>
      <c r="W11" s="4"/>
      <c r="X11" s="4"/>
      <c r="Y11" s="7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7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7"/>
      <c r="BC11" s="4"/>
      <c r="BD11" s="15"/>
      <c r="BE11" s="15"/>
      <c r="BF11" s="15"/>
      <c r="BG11" s="15"/>
      <c r="BH11" s="15"/>
      <c r="BI11" s="15"/>
      <c r="BJ11" s="4"/>
      <c r="BK11" s="4"/>
      <c r="BL11" s="4"/>
      <c r="BM11" s="4"/>
      <c r="BN11" s="4"/>
      <c r="CM11" s="4"/>
      <c r="CN11" s="13"/>
      <c r="CO11" s="13"/>
      <c r="CP11" s="13"/>
      <c r="CQ11" s="4"/>
      <c r="CR11" s="4"/>
      <c r="CS11" s="4"/>
      <c r="CT11" s="4"/>
      <c r="CU11" s="4"/>
      <c r="DZ11" s="16"/>
    </row>
    <row r="12" spans="1:131" s="5" customFormat="1" ht="18" customHeight="1" x14ac:dyDescent="0.45">
      <c r="A12" s="126" t="s">
        <v>35</v>
      </c>
      <c r="B12" s="127"/>
      <c r="C12" s="127"/>
      <c r="D12" s="127"/>
      <c r="E12" s="127"/>
      <c r="F12" s="127"/>
      <c r="G12" s="127"/>
      <c r="H12" s="128"/>
      <c r="J12" s="6"/>
      <c r="T12" s="4"/>
      <c r="U12" s="4"/>
      <c r="V12" s="4"/>
      <c r="W12" s="4"/>
      <c r="X12" s="4"/>
      <c r="Y12" s="7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7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7"/>
      <c r="BC12" s="4"/>
      <c r="BD12" s="15"/>
      <c r="BE12" s="15"/>
      <c r="BF12" s="15"/>
      <c r="BG12" s="15"/>
      <c r="BH12" s="15"/>
      <c r="BI12" s="15"/>
      <c r="BJ12" s="4"/>
      <c r="BK12" s="4"/>
      <c r="BL12" s="4"/>
      <c r="BM12" s="4"/>
      <c r="BN12" s="4"/>
      <c r="CM12" s="4"/>
      <c r="CN12" s="13"/>
      <c r="CO12" s="13"/>
      <c r="CP12" s="13"/>
      <c r="CQ12" s="4"/>
      <c r="CR12" s="4"/>
      <c r="CS12" s="4"/>
      <c r="CT12" s="4"/>
      <c r="CU12" s="4"/>
      <c r="DZ12" s="16"/>
    </row>
    <row r="13" spans="1:131" s="5" customFormat="1" ht="15.75" customHeight="1" x14ac:dyDescent="0.5">
      <c r="A13" s="129" t="s">
        <v>22</v>
      </c>
      <c r="B13" s="130"/>
      <c r="C13" s="144" t="s">
        <v>23</v>
      </c>
      <c r="D13" s="141" t="s">
        <v>15</v>
      </c>
      <c r="E13" s="142"/>
      <c r="F13" s="142"/>
      <c r="G13" s="143"/>
      <c r="H13" s="145" t="s">
        <v>16</v>
      </c>
      <c r="I13" s="6"/>
      <c r="J13" s="6"/>
      <c r="T13" s="4"/>
      <c r="U13" s="4"/>
      <c r="V13" s="4"/>
      <c r="W13" s="4"/>
      <c r="X13" s="4"/>
      <c r="Y13" s="7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7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CM13" s="4"/>
      <c r="CN13" s="13"/>
      <c r="CO13" s="13"/>
      <c r="CP13" s="13"/>
      <c r="CQ13" s="4"/>
      <c r="CR13" s="4"/>
      <c r="CS13" s="4"/>
      <c r="CT13" s="4"/>
      <c r="CU13" s="4"/>
      <c r="DZ13" s="16"/>
    </row>
    <row r="14" spans="1:131" s="5" customFormat="1" ht="15.75" customHeight="1" x14ac:dyDescent="0.5">
      <c r="A14" s="131"/>
      <c r="B14" s="132"/>
      <c r="C14" s="144"/>
      <c r="D14" s="27" t="s">
        <v>1</v>
      </c>
      <c r="E14" s="27" t="s">
        <v>2</v>
      </c>
      <c r="F14" s="27" t="s">
        <v>3</v>
      </c>
      <c r="G14" s="27" t="s">
        <v>4</v>
      </c>
      <c r="H14" s="145"/>
      <c r="J14" s="33"/>
      <c r="S14" s="4"/>
      <c r="T14" s="4"/>
      <c r="U14" s="4"/>
      <c r="V14" s="4"/>
      <c r="W14" s="4"/>
      <c r="X14" s="4"/>
      <c r="Y14" s="7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7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7"/>
      <c r="BC14" s="4"/>
      <c r="BD14" s="19"/>
      <c r="BE14" s="19"/>
      <c r="BF14" s="19"/>
      <c r="BG14" s="19"/>
      <c r="BH14" s="19"/>
      <c r="BI14" s="19"/>
      <c r="BJ14" s="4"/>
      <c r="BK14" s="4"/>
      <c r="BL14" s="4"/>
      <c r="BM14" s="4"/>
      <c r="BN14" s="4"/>
      <c r="CM14" s="4"/>
      <c r="CN14" s="13"/>
      <c r="CO14" s="13"/>
      <c r="CP14" s="13"/>
      <c r="CQ14" s="4"/>
      <c r="CR14" s="4"/>
      <c r="CS14" s="4"/>
      <c r="CT14" s="4"/>
      <c r="CU14" s="4"/>
      <c r="DZ14" s="16"/>
    </row>
    <row r="15" spans="1:131" s="5" customFormat="1" ht="15" x14ac:dyDescent="0.5">
      <c r="A15" s="85" t="s">
        <v>26</v>
      </c>
      <c r="B15" s="37" t="s">
        <v>8</v>
      </c>
      <c r="C15" s="38">
        <v>1300</v>
      </c>
      <c r="D15" s="39">
        <v>82</v>
      </c>
      <c r="E15" s="40">
        <v>0</v>
      </c>
      <c r="F15" s="40">
        <v>0</v>
      </c>
      <c r="G15" s="40">
        <v>0</v>
      </c>
      <c r="H15" s="41">
        <f>SUM(C15/(2204.6226*(D15/100)))</f>
        <v>0.71910986200474247</v>
      </c>
      <c r="J15" s="33"/>
      <c r="S15" s="4"/>
      <c r="T15" s="4"/>
      <c r="U15" s="4"/>
      <c r="V15" s="4"/>
      <c r="W15" s="4"/>
      <c r="X15" s="4"/>
      <c r="Y15" s="7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7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7"/>
      <c r="BC15" s="4"/>
      <c r="BD15" s="18"/>
      <c r="BE15" s="18"/>
      <c r="BF15" s="18"/>
      <c r="BG15" s="18"/>
      <c r="BH15" s="18"/>
      <c r="BI15" s="18"/>
      <c r="BJ15" s="4"/>
      <c r="BK15" s="4"/>
      <c r="BL15" s="4"/>
      <c r="BM15" s="4"/>
      <c r="BN15" s="4"/>
      <c r="CM15" s="4"/>
      <c r="CN15" s="13"/>
      <c r="CO15" s="13"/>
      <c r="CP15" s="13"/>
      <c r="CQ15" s="4"/>
      <c r="CR15" s="4"/>
      <c r="CS15" s="4"/>
      <c r="CT15" s="4"/>
      <c r="CU15" s="4"/>
      <c r="DZ15" s="16"/>
    </row>
    <row r="16" spans="1:131" s="5" customFormat="1" ht="15.75" customHeight="1" x14ac:dyDescent="0.5">
      <c r="A16" s="86" t="s">
        <v>28</v>
      </c>
      <c r="B16" s="47" t="s">
        <v>8</v>
      </c>
      <c r="C16" s="67">
        <v>825</v>
      </c>
      <c r="D16" s="68">
        <v>46</v>
      </c>
      <c r="E16" s="69">
        <v>0</v>
      </c>
      <c r="F16" s="69">
        <v>0</v>
      </c>
      <c r="G16" s="69">
        <v>0</v>
      </c>
      <c r="H16" s="70">
        <f>SUM(C16/(2204.6226*(D16/100)))</f>
        <v>0.81350806295352551</v>
      </c>
      <c r="J16" s="33"/>
      <c r="S16" s="4"/>
      <c r="T16" s="4"/>
      <c r="U16" s="4"/>
      <c r="V16" s="4"/>
      <c r="W16" s="4"/>
      <c r="X16" s="4"/>
      <c r="Y16" s="7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7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17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CM16" s="4"/>
      <c r="CN16" s="13"/>
      <c r="CO16" s="13"/>
      <c r="CP16" s="13"/>
      <c r="CQ16" s="4"/>
      <c r="CR16" s="4"/>
      <c r="CS16" s="4"/>
      <c r="CT16" s="4"/>
      <c r="CU16" s="4"/>
      <c r="DZ16" s="16"/>
    </row>
    <row r="17" spans="1:130" s="5" customFormat="1" ht="15.75" customHeight="1" x14ac:dyDescent="0.5">
      <c r="A17" s="71"/>
      <c r="B17" s="47" t="s">
        <v>7</v>
      </c>
      <c r="C17" s="67">
        <v>1075</v>
      </c>
      <c r="D17" s="72">
        <v>11</v>
      </c>
      <c r="E17" s="72">
        <v>52</v>
      </c>
      <c r="F17" s="69">
        <v>0</v>
      </c>
      <c r="G17" s="69">
        <v>0</v>
      </c>
      <c r="H17" s="70">
        <f>SUM((C17-(H16*((D17/100)*2204.6226)))/(2204.5855*(E17/100)))</f>
        <v>0.76563964527602524</v>
      </c>
      <c r="J17" s="33"/>
      <c r="S17" s="4"/>
      <c r="T17" s="4"/>
      <c r="U17" s="4"/>
      <c r="V17" s="9"/>
      <c r="W17" s="4"/>
      <c r="X17" s="4"/>
      <c r="Y17" s="7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7"/>
      <c r="AQ17" s="4"/>
      <c r="AR17" s="4"/>
      <c r="AS17" s="4"/>
      <c r="AT17" s="7"/>
      <c r="AU17" s="4"/>
      <c r="AV17" s="4"/>
      <c r="AW17" s="4"/>
      <c r="AX17" s="4"/>
      <c r="AY17" s="4"/>
      <c r="AZ17" s="4"/>
      <c r="BA17" s="4"/>
      <c r="BB17" s="17"/>
      <c r="BC17" s="4"/>
      <c r="BD17" s="18"/>
      <c r="BE17" s="18"/>
      <c r="BF17" s="18"/>
      <c r="BG17" s="18"/>
      <c r="BH17" s="18"/>
      <c r="BI17" s="18"/>
      <c r="BJ17" s="4"/>
      <c r="BK17" s="4"/>
      <c r="BL17" s="4"/>
      <c r="BM17" s="4"/>
      <c r="BN17" s="4"/>
      <c r="CM17" s="4"/>
      <c r="CN17" s="13"/>
      <c r="CO17" s="13"/>
      <c r="CP17" s="13"/>
      <c r="CQ17" s="4"/>
      <c r="CR17" s="4"/>
      <c r="CS17" s="4"/>
      <c r="CT17" s="4"/>
      <c r="CU17" s="4"/>
      <c r="DZ17" s="16"/>
    </row>
    <row r="18" spans="1:130" s="5" customFormat="1" ht="15.75" customHeight="1" x14ac:dyDescent="0.5">
      <c r="A18" s="71"/>
      <c r="B18" s="47" t="s">
        <v>6</v>
      </c>
      <c r="C18" s="67">
        <v>625</v>
      </c>
      <c r="D18" s="69">
        <v>0</v>
      </c>
      <c r="E18" s="69">
        <v>0</v>
      </c>
      <c r="F18" s="68">
        <v>60</v>
      </c>
      <c r="G18" s="69">
        <v>0</v>
      </c>
      <c r="H18" s="70">
        <f>SUM(C18/(2204.6226*(F18/100)))</f>
        <v>0.47249205676593653</v>
      </c>
      <c r="J18" s="33"/>
      <c r="S18" s="4"/>
      <c r="T18" s="4"/>
      <c r="U18" s="4"/>
      <c r="V18" s="4"/>
      <c r="W18" s="4"/>
      <c r="X18" s="4"/>
      <c r="Y18" s="7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7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CM18" s="4"/>
      <c r="CN18" s="13"/>
      <c r="CO18" s="13"/>
      <c r="CP18" s="13"/>
      <c r="CQ18" s="4"/>
      <c r="CR18" s="4"/>
      <c r="CS18" s="4"/>
      <c r="CT18" s="4"/>
      <c r="CU18" s="4"/>
      <c r="DZ18" s="16"/>
    </row>
    <row r="19" spans="1:130" s="5" customFormat="1" ht="15.75" customHeight="1" x14ac:dyDescent="0.5">
      <c r="A19" s="71"/>
      <c r="B19" s="47" t="s">
        <v>5</v>
      </c>
      <c r="C19" s="67">
        <v>600</v>
      </c>
      <c r="D19" s="68">
        <v>20.5</v>
      </c>
      <c r="E19" s="73">
        <f>IF(D19=19,2,0)</f>
        <v>0</v>
      </c>
      <c r="F19" s="73">
        <v>0</v>
      </c>
      <c r="G19" s="74">
        <f>IF(D19=19,22,IF(D19=0,90,IF(D19=16,40,IF(D19=9,60,24))))</f>
        <v>24</v>
      </c>
      <c r="H19" s="70">
        <f>SUM((C19-(H16*((D19/100)*2204.6226)))/(2204.5855*(G19/100)))</f>
        <v>0.439116855378897</v>
      </c>
      <c r="J19" s="33"/>
      <c r="S19" s="4"/>
      <c r="T19" s="4"/>
      <c r="U19" s="4"/>
      <c r="V19" s="4"/>
      <c r="W19" s="4"/>
      <c r="X19" s="4"/>
      <c r="Y19" s="7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7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CM19" s="4"/>
      <c r="CN19" s="13"/>
      <c r="CO19" s="13"/>
      <c r="CP19" s="13"/>
      <c r="CQ19" s="4"/>
      <c r="CR19" s="4"/>
      <c r="CS19" s="4"/>
      <c r="CT19" s="4"/>
      <c r="CU19" s="4"/>
      <c r="DZ19" s="16"/>
    </row>
    <row r="20" spans="1:130" s="5" customFormat="1" ht="15.75" customHeight="1" x14ac:dyDescent="0.5">
      <c r="A20" s="71"/>
      <c r="B20" s="47" t="s">
        <v>9</v>
      </c>
      <c r="C20" s="67">
        <v>0</v>
      </c>
      <c r="D20" s="75"/>
      <c r="E20" s="75"/>
      <c r="F20" s="75"/>
      <c r="G20" s="76" t="s">
        <v>10</v>
      </c>
      <c r="H20" s="77"/>
      <c r="J20" s="33"/>
      <c r="S20" s="4"/>
      <c r="T20" s="4"/>
      <c r="U20" s="4"/>
      <c r="V20" s="4"/>
      <c r="W20" s="4"/>
      <c r="X20" s="4"/>
      <c r="Y20" s="7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7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CM20" s="4"/>
      <c r="CN20" s="13"/>
      <c r="CO20" s="13"/>
      <c r="CP20" s="13"/>
      <c r="CQ20" s="4"/>
      <c r="CR20" s="4"/>
      <c r="CS20" s="4"/>
      <c r="CT20" s="4"/>
      <c r="CU20" s="4"/>
      <c r="DZ20" s="16"/>
    </row>
    <row r="21" spans="1:130" s="5" customFormat="1" ht="15.3" thickBot="1" x14ac:dyDescent="0.55000000000000004">
      <c r="A21" s="87" t="s">
        <v>24</v>
      </c>
      <c r="B21" s="78" t="s">
        <v>8</v>
      </c>
      <c r="C21" s="79">
        <v>500</v>
      </c>
      <c r="D21" s="80">
        <v>28</v>
      </c>
      <c r="E21" s="81">
        <v>0</v>
      </c>
      <c r="F21" s="81">
        <v>0</v>
      </c>
      <c r="G21" s="81">
        <v>0</v>
      </c>
      <c r="H21" s="82">
        <f>SUM(C21/(2204.6226*(D21/100)))</f>
        <v>0.80998638302731973</v>
      </c>
      <c r="J21" s="33"/>
      <c r="S21" s="4"/>
      <c r="T21" s="4"/>
      <c r="U21" s="4"/>
      <c r="V21" s="4"/>
      <c r="W21" s="4"/>
      <c r="X21" s="4"/>
      <c r="Y21" s="7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7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CM21" s="4"/>
      <c r="CN21" s="13"/>
      <c r="CO21" s="13"/>
      <c r="CP21" s="13"/>
      <c r="CQ21" s="4"/>
      <c r="CR21" s="4"/>
      <c r="CS21" s="4"/>
      <c r="CT21" s="4"/>
      <c r="CU21" s="4"/>
      <c r="DZ21" s="16"/>
    </row>
    <row r="22" spans="1:130" s="5" customFormat="1" ht="8.1" customHeight="1" thickBot="1" x14ac:dyDescent="0.5">
      <c r="B22" s="9"/>
      <c r="D22" s="8"/>
      <c r="E22" s="8"/>
      <c r="F22" s="8"/>
      <c r="G22" s="8"/>
      <c r="H22" s="4"/>
      <c r="S22" s="4"/>
      <c r="T22" s="4"/>
      <c r="U22" s="4"/>
      <c r="V22" s="4"/>
      <c r="W22" s="4"/>
      <c r="X22" s="4"/>
      <c r="Y22" s="7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7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CM22" s="4"/>
      <c r="CN22" s="13"/>
      <c r="CO22" s="13"/>
      <c r="CP22" s="13"/>
      <c r="CQ22" s="4"/>
      <c r="CR22" s="4"/>
      <c r="CS22" s="4"/>
      <c r="CT22" s="4"/>
      <c r="CU22" s="4"/>
      <c r="DZ22" s="16"/>
    </row>
    <row r="23" spans="1:130" s="5" customFormat="1" ht="18" customHeight="1" thickBot="1" x14ac:dyDescent="0.5">
      <c r="A23" s="137" t="s">
        <v>36</v>
      </c>
      <c r="B23" s="138"/>
      <c r="C23" s="138"/>
      <c r="D23" s="138"/>
      <c r="E23" s="138"/>
      <c r="F23" s="138"/>
      <c r="G23" s="138"/>
      <c r="H23" s="139"/>
      <c r="I23" s="4"/>
      <c r="J23" s="4"/>
      <c r="S23" s="4"/>
      <c r="T23" s="4"/>
      <c r="U23" s="4"/>
      <c r="V23" s="4"/>
      <c r="W23" s="4"/>
      <c r="X23" s="4"/>
      <c r="Y23" s="7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7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CM23" s="4"/>
      <c r="CN23" s="13"/>
      <c r="CO23" s="13"/>
      <c r="CP23" s="13"/>
      <c r="CQ23" s="4"/>
      <c r="CR23" s="4"/>
      <c r="CS23" s="4"/>
      <c r="CT23" s="4"/>
      <c r="CU23" s="4"/>
      <c r="DZ23" s="16"/>
    </row>
    <row r="24" spans="1:130" s="5" customFormat="1" ht="15" customHeight="1" x14ac:dyDescent="0.5">
      <c r="A24" s="168" t="s">
        <v>22</v>
      </c>
      <c r="B24" s="169"/>
      <c r="C24" s="169"/>
      <c r="D24" s="167" t="s">
        <v>19</v>
      </c>
      <c r="E24" s="167"/>
      <c r="F24" s="167" t="s">
        <v>20</v>
      </c>
      <c r="G24" s="167"/>
      <c r="H24" s="94" t="s">
        <v>21</v>
      </c>
      <c r="J24" s="4"/>
      <c r="S24" s="4"/>
      <c r="T24" s="4"/>
      <c r="U24" s="4"/>
      <c r="V24" s="4"/>
      <c r="W24" s="4"/>
      <c r="X24" s="4"/>
      <c r="Y24" s="7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7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CM24" s="4"/>
      <c r="CN24" s="13"/>
      <c r="CO24" s="13"/>
      <c r="CP24" s="13"/>
      <c r="CQ24" s="4"/>
      <c r="CR24" s="4"/>
      <c r="CS24" s="4"/>
      <c r="CT24" s="4"/>
      <c r="CU24" s="4"/>
      <c r="DZ24" s="16"/>
    </row>
    <row r="25" spans="1:130" s="5" customFormat="1" ht="15.75" customHeight="1" x14ac:dyDescent="0.5">
      <c r="A25" s="88" t="s">
        <v>26</v>
      </c>
      <c r="B25" s="48"/>
      <c r="C25" s="49" t="str">
        <f>"Nitrogen ("&amp;D15&amp;"-"&amp;E15&amp;"-"&amp;F15&amp;"-"&amp;G15&amp;")"</f>
        <v>Nitrogen (82-0-0-0)</v>
      </c>
      <c r="D25" s="172">
        <f>MAXA(0,(E8)/(D15/100))</f>
        <v>97.560975609756099</v>
      </c>
      <c r="E25" s="172"/>
      <c r="F25" s="173">
        <f>(D25*A7)/2204.6226</f>
        <v>7.0804663335851563</v>
      </c>
      <c r="G25" s="173"/>
      <c r="H25" s="50" t="s">
        <v>25</v>
      </c>
      <c r="J25" s="4"/>
      <c r="R25" s="8"/>
      <c r="S25" s="4"/>
      <c r="T25" s="4"/>
      <c r="U25" s="4"/>
      <c r="V25" s="4"/>
      <c r="W25" s="4"/>
      <c r="X25" s="4"/>
      <c r="Y25" s="7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7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CM25" s="4"/>
      <c r="CN25" s="13"/>
      <c r="CO25" s="13"/>
      <c r="CP25" s="13"/>
      <c r="CQ25" s="4"/>
      <c r="CR25" s="4"/>
      <c r="CS25" s="4"/>
      <c r="CT25" s="4"/>
      <c r="CU25" s="4"/>
      <c r="DZ25" s="16"/>
    </row>
    <row r="26" spans="1:130" s="5" customFormat="1" ht="15.75" customHeight="1" x14ac:dyDescent="0.5">
      <c r="A26" s="86" t="s">
        <v>28</v>
      </c>
      <c r="B26" s="44"/>
      <c r="C26" s="43" t="str">
        <f>"Nitrogen ("&amp;D16&amp;"-"&amp;E16&amp;"-"&amp;F16&amp;"-"&amp;G16&amp;")"</f>
        <v>Nitrogen (46-0-0-0)</v>
      </c>
      <c r="D26" s="133">
        <f>MAXA(0,(C7-E8-E10-Calculations!C6-Calculations!C7-Calculations!C8)/(D16/100))</f>
        <v>9.6850613154960961</v>
      </c>
      <c r="E26" s="133"/>
      <c r="F26" s="174">
        <f>(D26*A7)/2204.6226</f>
        <v>0.70289119347655027</v>
      </c>
      <c r="G26" s="174"/>
      <c r="H26" s="83">
        <f>D26/$D$30</f>
        <v>5.6990569905699041E-2</v>
      </c>
      <c r="J26" s="4"/>
      <c r="R26" s="8"/>
      <c r="S26" s="4"/>
      <c r="T26" s="4"/>
      <c r="U26" s="4"/>
      <c r="V26" s="4"/>
      <c r="W26" s="4"/>
      <c r="X26" s="4"/>
      <c r="Y26" s="7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7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CM26" s="4"/>
      <c r="CN26" s="13"/>
      <c r="CO26" s="13"/>
      <c r="CP26" s="13"/>
      <c r="CQ26" s="4"/>
      <c r="CR26" s="4"/>
      <c r="CS26" s="4"/>
      <c r="CT26" s="4"/>
      <c r="CU26" s="4"/>
      <c r="DZ26" s="16"/>
    </row>
    <row r="27" spans="1:130" s="5" customFormat="1" ht="15" x14ac:dyDescent="0.5">
      <c r="A27" s="71"/>
      <c r="B27" s="44"/>
      <c r="C27" s="43" t="str">
        <f>"Phosphate ("&amp;D17&amp;"-"&amp;E17&amp;"-"&amp;F17&amp;"-"&amp;G17&amp;")"</f>
        <v>Phosphate (11-52-0-0)</v>
      </c>
      <c r="D27" s="133">
        <f>MAXA(0,(F7-(Calculations!D7+Calculations!D8))/(E17/100))</f>
        <v>76.92307692307692</v>
      </c>
      <c r="E27" s="133"/>
      <c r="F27" s="174">
        <f>(D27*A7)/2204.6226</f>
        <v>5.5826753784036809</v>
      </c>
      <c r="G27" s="174"/>
      <c r="H27" s="83">
        <f>D27/$D$30</f>
        <v>0.45264452644526443</v>
      </c>
      <c r="J27" s="4"/>
      <c r="R27" s="8"/>
      <c r="S27" s="4"/>
      <c r="T27" s="4"/>
      <c r="U27" s="4"/>
      <c r="V27" s="4"/>
      <c r="W27" s="4"/>
      <c r="X27" s="4"/>
      <c r="Y27" s="7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7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CM27" s="4"/>
      <c r="CN27" s="13"/>
      <c r="CO27" s="13"/>
      <c r="CP27" s="13"/>
      <c r="CQ27" s="4"/>
      <c r="CR27" s="4"/>
      <c r="CS27" s="4"/>
      <c r="CT27" s="4"/>
      <c r="CU27" s="4"/>
      <c r="DZ27" s="16"/>
    </row>
    <row r="28" spans="1:130" s="5" customFormat="1" ht="15.75" customHeight="1" x14ac:dyDescent="0.5">
      <c r="A28" s="71"/>
      <c r="B28" s="44"/>
      <c r="C28" s="43" t="str">
        <f>"Potash ("&amp;D18&amp;"-"&amp;E18&amp;"-"&amp;F18&amp;"-"&amp;G18&amp;")"</f>
        <v>Potash (0-0-60-0)</v>
      </c>
      <c r="D28" s="133">
        <f>MAXA(0,(G7-(Calculations!E8))/(F18/100))</f>
        <v>0</v>
      </c>
      <c r="E28" s="133"/>
      <c r="F28" s="174">
        <f>(D28*A7)/2204.6226</f>
        <v>0</v>
      </c>
      <c r="G28" s="174"/>
      <c r="H28" s="83">
        <f>D28/$D$30</f>
        <v>0</v>
      </c>
      <c r="J28" s="4"/>
      <c r="R28" s="8"/>
      <c r="S28" s="4"/>
      <c r="T28" s="4"/>
      <c r="U28" s="4"/>
      <c r="V28" s="4"/>
      <c r="W28" s="4"/>
      <c r="X28" s="4"/>
      <c r="Y28" s="7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7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CM28" s="4"/>
      <c r="CN28" s="13"/>
      <c r="CO28" s="13"/>
      <c r="CP28" s="13"/>
      <c r="CQ28" s="4"/>
      <c r="CR28" s="4"/>
      <c r="CS28" s="4"/>
      <c r="CT28" s="4"/>
      <c r="CU28" s="4"/>
      <c r="DZ28" s="16"/>
    </row>
    <row r="29" spans="1:130" s="5" customFormat="1" ht="15.75" customHeight="1" x14ac:dyDescent="0.5">
      <c r="A29" s="71"/>
      <c r="B29" s="45"/>
      <c r="C29" s="46" t="str">
        <f>"Sulphur ("&amp;D19&amp;"-"&amp;E19&amp;"-"&amp;F19&amp;"-"&amp;G19&amp;")"</f>
        <v>Sulphur (20.5-0-0-24)</v>
      </c>
      <c r="D29" s="134">
        <f>H7/(G19/100)</f>
        <v>83.333333333333343</v>
      </c>
      <c r="E29" s="134"/>
      <c r="F29" s="170">
        <f>(D29*A7)/2204.6226</f>
        <v>6.0478983266039892</v>
      </c>
      <c r="G29" s="170"/>
      <c r="H29" s="84">
        <f>D29/$D$30</f>
        <v>0.49036490364903651</v>
      </c>
      <c r="J29" s="4"/>
      <c r="R29" s="8"/>
      <c r="S29" s="4"/>
      <c r="T29" s="4"/>
      <c r="U29" s="4"/>
      <c r="V29" s="4"/>
      <c r="W29" s="4"/>
      <c r="X29" s="4"/>
      <c r="Y29" s="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7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CM29" s="4"/>
      <c r="CN29" s="13"/>
      <c r="CO29" s="13"/>
      <c r="CP29" s="13"/>
      <c r="CQ29" s="4"/>
      <c r="CR29" s="4"/>
      <c r="CS29" s="4"/>
      <c r="CT29" s="4"/>
      <c r="CU29" s="4"/>
      <c r="DZ29" s="16"/>
    </row>
    <row r="30" spans="1:130" s="5" customFormat="1" ht="15.75" customHeight="1" x14ac:dyDescent="0.5">
      <c r="A30" s="102"/>
      <c r="B30" s="103"/>
      <c r="C30" s="104" t="s">
        <v>27</v>
      </c>
      <c r="D30" s="175">
        <f>SUM(D26:E29)</f>
        <v>169.94147157190636</v>
      </c>
      <c r="E30" s="175"/>
      <c r="F30" s="171">
        <f>SUM(F26:G29)</f>
        <v>12.33346489848422</v>
      </c>
      <c r="G30" s="171"/>
      <c r="H30" s="105">
        <f>SUM(H26:H29)</f>
        <v>1</v>
      </c>
      <c r="J30" s="4"/>
      <c r="R30" s="8"/>
      <c r="S30" s="4"/>
      <c r="T30" s="4"/>
      <c r="U30" s="4"/>
      <c r="V30" s="4"/>
      <c r="W30" s="4"/>
      <c r="X30" s="4"/>
      <c r="Y30" s="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7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CM30" s="4"/>
      <c r="CN30" s="13"/>
      <c r="CO30" s="13"/>
      <c r="CP30" s="13"/>
      <c r="CQ30" s="4"/>
      <c r="CR30" s="4"/>
      <c r="CS30" s="4"/>
      <c r="CT30" s="4"/>
      <c r="CU30" s="4"/>
      <c r="DZ30" s="16"/>
    </row>
    <row r="31" spans="1:130" s="5" customFormat="1" ht="15.75" customHeight="1" thickBot="1" x14ac:dyDescent="0.55000000000000004">
      <c r="A31" s="87" t="s">
        <v>24</v>
      </c>
      <c r="B31" s="51"/>
      <c r="C31" s="52" t="str">
        <f>"Nitrogen ("&amp;D21&amp;"-"&amp;E21&amp;"-"&amp;F21&amp;"-"&amp;G21&amp;")"</f>
        <v>Nitrogen (28-0-0-0)</v>
      </c>
      <c r="D31" s="121">
        <f>MAXA(0,(E10)/(D21/100))</f>
        <v>35.714285714285708</v>
      </c>
      <c r="E31" s="121"/>
      <c r="F31" s="122">
        <f>(D31*A7)/2204.6226</f>
        <v>2.5919564256874232</v>
      </c>
      <c r="G31" s="122"/>
      <c r="H31" s="53" t="s">
        <v>25</v>
      </c>
      <c r="J31" s="4"/>
      <c r="R31" s="8"/>
      <c r="S31" s="4"/>
      <c r="T31" s="4"/>
      <c r="U31" s="4"/>
      <c r="V31" s="9"/>
      <c r="W31" s="15"/>
      <c r="X31" s="4"/>
      <c r="Y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7"/>
      <c r="AV31" s="4"/>
      <c r="AW31" s="4"/>
      <c r="AX31" s="4"/>
      <c r="AY31" s="4"/>
      <c r="AZ31" s="4"/>
      <c r="BA31" s="4"/>
      <c r="BB31" s="17"/>
      <c r="BC31" s="4"/>
      <c r="BD31" s="18"/>
      <c r="BE31" s="18"/>
      <c r="BF31" s="18"/>
      <c r="BG31" s="18"/>
      <c r="BH31" s="18"/>
      <c r="BI31" s="18"/>
      <c r="BJ31" s="4"/>
      <c r="BK31" s="4"/>
      <c r="BL31" s="4"/>
      <c r="BM31" s="4"/>
      <c r="BN31" s="4"/>
      <c r="CM31" s="4"/>
      <c r="CN31" s="13"/>
      <c r="CO31" s="13"/>
      <c r="CP31" s="13"/>
      <c r="CQ31" s="4"/>
      <c r="CR31" s="4"/>
      <c r="CS31" s="4"/>
      <c r="CT31" s="4"/>
      <c r="CU31" s="4"/>
      <c r="DZ31" s="16"/>
    </row>
    <row r="32" spans="1:130" s="5" customFormat="1" ht="8.1" customHeight="1" x14ac:dyDescent="0.5">
      <c r="B32" s="28"/>
      <c r="C32" s="34"/>
      <c r="D32" s="29"/>
      <c r="E32" s="32"/>
      <c r="F32" s="30"/>
      <c r="J32" s="4"/>
      <c r="R32" s="8"/>
      <c r="S32" s="4"/>
      <c r="T32" s="4"/>
      <c r="U32" s="4"/>
      <c r="V32" s="9"/>
      <c r="W32" s="15"/>
      <c r="X32" s="4"/>
      <c r="Y32" s="7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7"/>
      <c r="AV32" s="4"/>
      <c r="AW32" s="4"/>
      <c r="AX32" s="4"/>
      <c r="AY32" s="4"/>
      <c r="AZ32" s="4"/>
      <c r="BA32" s="4"/>
      <c r="BB32" s="17"/>
      <c r="BC32" s="4"/>
      <c r="BD32" s="18"/>
      <c r="BE32" s="18"/>
      <c r="BF32" s="18"/>
      <c r="BG32" s="18"/>
      <c r="BH32" s="18"/>
      <c r="BI32" s="18"/>
      <c r="BJ32" s="4"/>
      <c r="BK32" s="4"/>
      <c r="BL32" s="4"/>
      <c r="BM32" s="4"/>
      <c r="BN32" s="4"/>
      <c r="CM32" s="4"/>
      <c r="CN32" s="13"/>
      <c r="CO32" s="13"/>
      <c r="CP32" s="13"/>
      <c r="CQ32" s="4"/>
      <c r="CR32" s="4"/>
      <c r="CS32" s="4"/>
      <c r="CT32" s="4"/>
      <c r="CU32" s="4"/>
      <c r="DZ32" s="16"/>
    </row>
    <row r="33" spans="1:61" s="108" customFormat="1" ht="30" customHeight="1" x14ac:dyDescent="0.6">
      <c r="A33" s="106"/>
      <c r="B33" s="123" t="str">
        <f>"Fertilizer Cost Per Acre = $"&amp;TEXT(Calculations!E24,"0.00")</f>
        <v>Fertilizer Cost Per Acre = $129.44</v>
      </c>
      <c r="C33" s="124"/>
      <c r="D33" s="124"/>
      <c r="E33" s="124"/>
      <c r="F33" s="125"/>
      <c r="G33" s="107"/>
      <c r="H33" s="107"/>
      <c r="V33" s="109"/>
      <c r="W33" s="110"/>
      <c r="Y33" s="111"/>
      <c r="BB33" s="112"/>
      <c r="BD33" s="113"/>
      <c r="BE33" s="113"/>
      <c r="BF33" s="113"/>
      <c r="BG33" s="113"/>
      <c r="BH33" s="113"/>
      <c r="BI33" s="113"/>
    </row>
    <row r="34" spans="1:61" ht="196.5" customHeight="1" x14ac:dyDescent="0.4">
      <c r="A34" s="4"/>
      <c r="B34" s="31"/>
      <c r="C34" s="31"/>
      <c r="D34" s="31"/>
      <c r="E34" s="31"/>
      <c r="F34" s="31"/>
      <c r="G34" s="4"/>
      <c r="H34" s="4"/>
      <c r="I34" s="4"/>
      <c r="J34" s="4"/>
      <c r="K34" s="4"/>
      <c r="L34" s="4"/>
    </row>
    <row r="35" spans="1:61" ht="8.4" customHeight="1" x14ac:dyDescent="0.4">
      <c r="A35" s="4"/>
      <c r="B35" s="31"/>
      <c r="C35" s="31"/>
      <c r="D35" s="31"/>
      <c r="E35" s="31"/>
      <c r="F35" s="31"/>
      <c r="G35" s="4"/>
      <c r="H35" s="4"/>
      <c r="I35" s="4"/>
      <c r="J35" s="4"/>
      <c r="K35" s="4"/>
      <c r="L35" s="4"/>
    </row>
    <row r="36" spans="1:61" ht="30" customHeight="1" x14ac:dyDescent="0.4">
      <c r="A36" s="123" t="str">
        <f>"Total Fertilizer Cost = $"&amp;TEXT(Calculations!D24,"#,###")</f>
        <v>Total Fertilizer Cost = $20,711</v>
      </c>
      <c r="B36" s="124"/>
      <c r="C36" s="124"/>
      <c r="D36" s="124"/>
      <c r="E36" s="124"/>
      <c r="F36" s="124"/>
      <c r="G36" s="124"/>
      <c r="H36" s="124"/>
      <c r="I36" s="4"/>
      <c r="J36" s="4"/>
      <c r="K36" s="4"/>
      <c r="L36" s="4"/>
    </row>
    <row r="37" spans="1:61" ht="9" customHeight="1" x14ac:dyDescent="0.4">
      <c r="A37" s="4"/>
      <c r="B37" s="31"/>
      <c r="C37" s="31"/>
      <c r="D37" s="31"/>
      <c r="E37" s="31"/>
      <c r="F37" s="31"/>
      <c r="G37" s="4"/>
      <c r="H37" s="4"/>
      <c r="I37" s="4"/>
      <c r="J37" s="4"/>
      <c r="K37" s="4"/>
      <c r="L37" s="4"/>
    </row>
    <row r="38" spans="1:61" ht="12.75" customHeight="1" x14ac:dyDescent="0.4">
      <c r="A38" s="164" t="s">
        <v>38</v>
      </c>
      <c r="B38" s="164"/>
      <c r="C38" s="164"/>
      <c r="D38" s="164"/>
      <c r="E38" s="164"/>
      <c r="F38" s="164"/>
      <c r="G38" s="164"/>
      <c r="H38" s="164"/>
      <c r="I38" s="118"/>
      <c r="J38" s="118"/>
      <c r="K38" s="118"/>
    </row>
    <row r="39" spans="1:61" x14ac:dyDescent="0.4">
      <c r="A39" s="165"/>
      <c r="B39" s="165"/>
      <c r="C39" s="165"/>
      <c r="D39" s="165"/>
      <c r="E39" s="165"/>
      <c r="F39" s="165"/>
      <c r="G39" s="165"/>
      <c r="H39" s="165"/>
    </row>
    <row r="40" spans="1:61" x14ac:dyDescent="0.4">
      <c r="A40" s="120" t="s">
        <v>40</v>
      </c>
      <c r="B40" s="176" t="s">
        <v>41</v>
      </c>
      <c r="C40" s="176"/>
      <c r="D40" s="176"/>
      <c r="E40" s="176"/>
      <c r="F40" s="176"/>
      <c r="G40" s="176"/>
      <c r="H40" s="176"/>
    </row>
    <row r="41" spans="1:61" ht="14.5" customHeight="1" x14ac:dyDescent="0.5">
      <c r="A41" s="119"/>
      <c r="B41" s="119"/>
      <c r="C41" s="119"/>
      <c r="D41" s="114"/>
      <c r="E41" s="114"/>
      <c r="F41" s="114"/>
      <c r="G41" s="114"/>
      <c r="H41" s="115" t="s">
        <v>39</v>
      </c>
      <c r="I41" s="116"/>
      <c r="K41" s="117"/>
      <c r="L41" s="26"/>
      <c r="M41" s="26"/>
    </row>
  </sheetData>
  <mergeCells count="38">
    <mergeCell ref="B40:H40"/>
    <mergeCell ref="A38:H39"/>
    <mergeCell ref="A3:H3"/>
    <mergeCell ref="D24:E24"/>
    <mergeCell ref="F24:G24"/>
    <mergeCell ref="A24:C24"/>
    <mergeCell ref="A23:H23"/>
    <mergeCell ref="F29:G29"/>
    <mergeCell ref="F30:G30"/>
    <mergeCell ref="D25:E25"/>
    <mergeCell ref="D26:E26"/>
    <mergeCell ref="F25:G25"/>
    <mergeCell ref="F26:G26"/>
    <mergeCell ref="F27:G27"/>
    <mergeCell ref="F28:G28"/>
    <mergeCell ref="D30:E30"/>
    <mergeCell ref="A36:H36"/>
    <mergeCell ref="A2:F2"/>
    <mergeCell ref="A4:H4"/>
    <mergeCell ref="C8:D8"/>
    <mergeCell ref="D13:G13"/>
    <mergeCell ref="C13:C14"/>
    <mergeCell ref="H13:H14"/>
    <mergeCell ref="C5:H5"/>
    <mergeCell ref="C9:D9"/>
    <mergeCell ref="C10:D10"/>
    <mergeCell ref="C6:E6"/>
    <mergeCell ref="C7:E7"/>
    <mergeCell ref="A5:B6"/>
    <mergeCell ref="A7:B10"/>
    <mergeCell ref="D31:E31"/>
    <mergeCell ref="F31:G31"/>
    <mergeCell ref="B33:F33"/>
    <mergeCell ref="A12:H12"/>
    <mergeCell ref="A13:B14"/>
    <mergeCell ref="D27:E27"/>
    <mergeCell ref="D28:E28"/>
    <mergeCell ref="D29:E29"/>
  </mergeCells>
  <phoneticPr fontId="0" type="noConversion"/>
  <dataValidations count="2">
    <dataValidation type="whole" errorStyle="information" operator="lessThanOrEqual" allowBlank="1" showErrorMessage="1" errorTitle="Error: Pre-Seeding Nitrogen:" error="Please reduce the lbs of pre-seeding nitrogen (so the total nitrogen is less than or equal to actual lbs required) " sqref="E8" xr:uid="{00000000-0002-0000-0000-000000000000}">
      <formula1>C7-(E9+E10)</formula1>
    </dataValidation>
    <dataValidation type="whole" errorStyle="information" operator="lessThanOrEqual" allowBlank="1" showErrorMessage="1" errorTitle="Error: Supplemental Nitrogen" error="Please reduce the lbs of supplemental nitrogen (so the total nitrogen is less than or equal to actual lbs required) " sqref="E10" xr:uid="{00000000-0002-0000-0000-000001000000}">
      <formula1>C7-(E8+E9)</formula1>
    </dataValidation>
  </dataValidations>
  <hyperlinks>
    <hyperlink ref="B40:H40" r:id="rId1" display="Manitoba Fertilizer Cost &amp; Efficiency" xr:uid="{73A98987-3E62-42A2-B192-1E2C4F090A81}"/>
  </hyperlinks>
  <printOptions horizontalCentered="1" verticalCentered="1"/>
  <pageMargins left="0.31496062992125984" right="0.31496062992125984" top="0.55118110236220474" bottom="0.55118110236220474" header="0" footer="0.31496062992125984"/>
  <pageSetup scale="83" orientation="portrait" r:id="rId2"/>
  <headerFooter alignWithMargins="0">
    <oddFooter>&amp;RManitoba Agriculture, Farm Management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4"/>
  <sheetViews>
    <sheetView workbookViewId="0">
      <selection activeCell="D31" sqref="D31"/>
    </sheetView>
  </sheetViews>
  <sheetFormatPr defaultRowHeight="12.3" x14ac:dyDescent="0.4"/>
  <cols>
    <col min="2" max="2" width="17.83203125" bestFit="1" customWidth="1"/>
    <col min="3" max="3" width="19.5546875" bestFit="1" customWidth="1"/>
    <col min="4" max="4" width="10.1640625" bestFit="1" customWidth="1"/>
    <col min="5" max="6" width="7.5546875" bestFit="1" customWidth="1"/>
    <col min="7" max="7" width="3.5546875" bestFit="1" customWidth="1"/>
  </cols>
  <sheetData>
    <row r="3" spans="1:7" x14ac:dyDescent="0.4">
      <c r="B3" s="6" t="s">
        <v>11</v>
      </c>
      <c r="C3" s="6" t="s">
        <v>1</v>
      </c>
      <c r="D3" s="6" t="s">
        <v>2</v>
      </c>
      <c r="E3" s="6" t="s">
        <v>3</v>
      </c>
      <c r="F3" s="6" t="s">
        <v>4</v>
      </c>
    </row>
    <row r="4" spans="1:7" x14ac:dyDescent="0.4">
      <c r="A4" s="7"/>
      <c r="B4" s="6" t="s">
        <v>12</v>
      </c>
      <c r="C4" s="4"/>
      <c r="D4" s="4"/>
      <c r="E4" s="4"/>
      <c r="F4" s="4"/>
      <c r="G4" s="11"/>
    </row>
    <row r="5" spans="1:7" x14ac:dyDescent="0.4">
      <c r="A5" s="7"/>
      <c r="B5" s="18">
        <f>FertPlan!H26*FertPlan!C16</f>
        <v>47.017220172201711</v>
      </c>
      <c r="C5" s="8">
        <f>FertPlan!D26*FertPlan!D16/100</f>
        <v>4.4551282051282044</v>
      </c>
      <c r="D5" s="4">
        <f>FertPlan!D26*FertPlan!E16/100</f>
        <v>0</v>
      </c>
      <c r="E5" s="4">
        <f>FertPlan!D26*FertPlan!F16/100</f>
        <v>0</v>
      </c>
      <c r="F5" s="4">
        <f>FertPlan!D26*FertPlan!G16/100</f>
        <v>0</v>
      </c>
      <c r="G5" s="11"/>
    </row>
    <row r="6" spans="1:7" x14ac:dyDescent="0.4">
      <c r="A6" s="7"/>
      <c r="B6" s="18">
        <f>FertPlan!H27*FertPlan!C17</f>
        <v>486.59286592865925</v>
      </c>
      <c r="C6" s="8">
        <f>FertPlan!D27*FertPlan!D17/100</f>
        <v>8.4615384615384599</v>
      </c>
      <c r="D6" s="4">
        <f>FertPlan!D27*FertPlan!E17/100</f>
        <v>40</v>
      </c>
      <c r="E6" s="4">
        <f>FertPlan!D27*FertPlan!F17/100</f>
        <v>0</v>
      </c>
      <c r="F6" s="4">
        <f>FertPlan!D27*FertPlan!G17/100</f>
        <v>0</v>
      </c>
      <c r="G6" s="11"/>
    </row>
    <row r="7" spans="1:7" x14ac:dyDescent="0.4">
      <c r="A7" s="4"/>
      <c r="B7" s="18">
        <f>FertPlan!H28*FertPlan!C18</f>
        <v>0</v>
      </c>
      <c r="C7" s="4">
        <f>FertPlan!D28*FertPlan!D18/100</f>
        <v>0</v>
      </c>
      <c r="D7" s="4">
        <f>FertPlan!D28*FertPlan!E18/100</f>
        <v>0</v>
      </c>
      <c r="E7" s="4">
        <f>FertPlan!D28*FertPlan!F18/100</f>
        <v>0</v>
      </c>
      <c r="F7" s="4">
        <f>FertPlan!D28*FertPlan!G18/100</f>
        <v>0</v>
      </c>
      <c r="G7" s="11"/>
    </row>
    <row r="8" spans="1:7" x14ac:dyDescent="0.4">
      <c r="A8" s="4"/>
      <c r="B8" s="18">
        <f>FertPlan!H29*FertPlan!C19</f>
        <v>294.21894218942191</v>
      </c>
      <c r="C8" s="8">
        <f>FertPlan!D29*FertPlan!D19/100</f>
        <v>17.083333333333336</v>
      </c>
      <c r="D8" s="4">
        <f>FertPlan!D29*FertPlan!E19/100</f>
        <v>0</v>
      </c>
      <c r="E8" s="4">
        <f>FertPlan!D29*FertPlan!F19/100</f>
        <v>0</v>
      </c>
      <c r="F8" s="4">
        <f>FertPlan!D29*FertPlan!G19/100</f>
        <v>20.000000000000004</v>
      </c>
      <c r="G8" s="11"/>
    </row>
    <row r="9" spans="1:7" x14ac:dyDescent="0.4">
      <c r="A9" s="7"/>
      <c r="B9" s="18">
        <f>FertPlan!C20</f>
        <v>0</v>
      </c>
      <c r="C9" s="4"/>
      <c r="D9" s="4"/>
      <c r="E9" s="4"/>
      <c r="F9" s="4"/>
      <c r="G9" s="11"/>
    </row>
    <row r="10" spans="1:7" x14ac:dyDescent="0.4">
      <c r="A10" s="7"/>
      <c r="B10" s="26">
        <f>SUM(B5:B9)</f>
        <v>827.82902829028285</v>
      </c>
      <c r="C10" s="5"/>
      <c r="D10" s="5"/>
      <c r="E10" s="5"/>
      <c r="F10" s="5"/>
      <c r="G10" s="11"/>
    </row>
    <row r="11" spans="1:7" ht="12.6" x14ac:dyDescent="0.45">
      <c r="A11" s="5"/>
      <c r="B11" s="20" t="s">
        <v>13</v>
      </c>
      <c r="C11" s="21">
        <f>TRUNC(SUM(C5:C8),1)</f>
        <v>30</v>
      </c>
      <c r="D11" s="21">
        <f>TRUNC(SUM(D5:D8),1)</f>
        <v>40</v>
      </c>
      <c r="E11" s="21">
        <f>TRUNC(SUM(E5:E8),1)</f>
        <v>0</v>
      </c>
      <c r="F11" s="21">
        <f>TRUNC(SUM(F5:F8),1)</f>
        <v>20</v>
      </c>
      <c r="G11" s="5">
        <f>FertPlan!E8</f>
        <v>80</v>
      </c>
    </row>
    <row r="12" spans="1:7" ht="12.9" thickBot="1" x14ac:dyDescent="0.5">
      <c r="A12" s="5"/>
      <c r="B12" s="22" t="s">
        <v>14</v>
      </c>
      <c r="C12" s="23">
        <f>TRUNC(C11/FertPlan!D30*100,1)</f>
        <v>17.600000000000001</v>
      </c>
      <c r="D12" s="23">
        <f>TRUNC(D11/FertPlan!D30*100,1)</f>
        <v>23.5</v>
      </c>
      <c r="E12" s="23">
        <f>TRUNC(E11/FertPlan!D30*100,1)</f>
        <v>0</v>
      </c>
      <c r="F12" s="23">
        <f>TRUNC(F11/FertPlan!D30*100,1)</f>
        <v>11.7</v>
      </c>
      <c r="G12" s="5">
        <f>FertPlan!E10</f>
        <v>10</v>
      </c>
    </row>
    <row r="13" spans="1:7" ht="12.9" thickTop="1" x14ac:dyDescent="0.45">
      <c r="A13" s="5"/>
      <c r="B13" s="24"/>
      <c r="C13" s="25"/>
      <c r="D13" s="25"/>
      <c r="E13" s="25"/>
      <c r="F13" s="25"/>
      <c r="G13" s="4"/>
    </row>
    <row r="14" spans="1:7" x14ac:dyDescent="0.4">
      <c r="A14" s="4"/>
      <c r="B14" s="4"/>
      <c r="C14" s="7"/>
      <c r="D14" s="5"/>
      <c r="E14" s="5"/>
      <c r="F14" s="5"/>
      <c r="G14" s="5"/>
    </row>
    <row r="15" spans="1:7" x14ac:dyDescent="0.4">
      <c r="A15" s="4"/>
      <c r="B15" s="4"/>
      <c r="C15" s="7"/>
      <c r="D15" s="89" t="s">
        <v>29</v>
      </c>
      <c r="E15" s="89" t="s">
        <v>29</v>
      </c>
      <c r="F15" s="89" t="s">
        <v>29</v>
      </c>
      <c r="G15" s="5"/>
    </row>
    <row r="16" spans="1:7" x14ac:dyDescent="0.4">
      <c r="A16" s="4"/>
      <c r="B16" s="4"/>
      <c r="C16" s="7"/>
      <c r="D16" s="89" t="s">
        <v>11</v>
      </c>
      <c r="E16" s="89" t="s">
        <v>30</v>
      </c>
      <c r="F16" s="89" t="s">
        <v>30</v>
      </c>
      <c r="G16" s="8"/>
    </row>
    <row r="17" spans="1:7" x14ac:dyDescent="0.4">
      <c r="A17" s="5"/>
      <c r="B17" s="92" t="s">
        <v>26</v>
      </c>
      <c r="C17" s="7" t="str">
        <f>FertPlan!C25</f>
        <v>Nitrogen (82-0-0-0)</v>
      </c>
      <c r="D17" s="26">
        <f>SUM(FertPlan!F25*FertPlan!C15)</f>
        <v>9204.6062336607029</v>
      </c>
      <c r="E17" s="35">
        <f>SUM(FertPlan!D25*(FertPlan!C15/2204.5855))</f>
        <v>57.529757087072795</v>
      </c>
      <c r="F17" s="35">
        <f>SUM(D17/FertPlan!$A$7)</f>
        <v>57.528788960379394</v>
      </c>
      <c r="G17" s="8"/>
    </row>
    <row r="18" spans="1:7" x14ac:dyDescent="0.4">
      <c r="A18" s="5"/>
      <c r="B18" s="93" t="s">
        <v>28</v>
      </c>
      <c r="C18" s="7" t="str">
        <f>FertPlan!C26</f>
        <v>Nitrogen (46-0-0-0)</v>
      </c>
      <c r="D18" s="26">
        <f>SUM(FertPlan!F26*FertPlan!C16)</f>
        <v>579.88523461815396</v>
      </c>
      <c r="E18" s="35">
        <f>SUM(FertPlan!D26*(FertPlan!C16/2204.5855))</f>
        <v>3.6243437078236607</v>
      </c>
      <c r="F18" s="35">
        <f>SUM(D18/FertPlan!$A$7)</f>
        <v>3.6242827163634623</v>
      </c>
      <c r="G18" s="8"/>
    </row>
    <row r="19" spans="1:7" x14ac:dyDescent="0.4">
      <c r="A19" s="5"/>
      <c r="B19" s="93" t="s">
        <v>31</v>
      </c>
      <c r="C19" s="7" t="str">
        <f>FertPlan!C27</f>
        <v>Phosphate (11-52-0-0)</v>
      </c>
      <c r="D19" s="26">
        <f>SUM(FertPlan!F27*FertPlan!C17)</f>
        <v>6001.3760317839569</v>
      </c>
      <c r="E19" s="35">
        <f>SUM(FertPlan!D27*(FertPlan!C17/2204.5855))</f>
        <v>37.509231414389546</v>
      </c>
      <c r="F19" s="35">
        <f>SUM(D19/FertPlan!$A$7)</f>
        <v>37.508600198649731</v>
      </c>
      <c r="G19" s="8"/>
    </row>
    <row r="20" spans="1:7" x14ac:dyDescent="0.4">
      <c r="A20" s="5"/>
      <c r="B20" s="93"/>
      <c r="C20" s="7" t="str">
        <f>FertPlan!C28</f>
        <v>Potash (0-0-60-0)</v>
      </c>
      <c r="D20" s="26">
        <f>SUM(FertPlan!F28*FertPlan!C18)</f>
        <v>0</v>
      </c>
      <c r="E20" s="35">
        <f>SUM(FertPlan!D28*(FertPlan!C18/2204.5855))</f>
        <v>0</v>
      </c>
      <c r="F20" s="35">
        <f>SUM(D20/FertPlan!$A$7)</f>
        <v>0</v>
      </c>
      <c r="G20" s="8"/>
    </row>
    <row r="21" spans="1:7" x14ac:dyDescent="0.4">
      <c r="A21" s="5"/>
      <c r="B21" s="93"/>
      <c r="C21" s="7" t="str">
        <f>FertPlan!C29</f>
        <v>Sulphur (20.5-0-0-24)</v>
      </c>
      <c r="D21" s="26">
        <f>SUM(FertPlan!F29*FertPlan!C19)</f>
        <v>3628.7389959623933</v>
      </c>
      <c r="E21" s="35">
        <f>SUM(FertPlan!D29*(FertPlan!C19/2204.5855))</f>
        <v>22.680000390096009</v>
      </c>
      <c r="F21" s="35">
        <f>SUM(D21/FertPlan!$A$7)</f>
        <v>22.679618724764957</v>
      </c>
      <c r="G21" s="8"/>
    </row>
    <row r="22" spans="1:7" x14ac:dyDescent="0.4">
      <c r="A22" s="5"/>
      <c r="B22" s="93"/>
      <c r="C22" s="7" t="str">
        <f>FertPlan!B20</f>
        <v>Blend charge</v>
      </c>
      <c r="D22" s="26">
        <f>SUM(FertPlan!F30*FertPlan!C20)</f>
        <v>0</v>
      </c>
      <c r="E22" s="35">
        <f>SUM(D22/FertPlan!$A$7)</f>
        <v>0</v>
      </c>
      <c r="F22" s="35">
        <f>SUM(D22/FertPlan!$A$7)</f>
        <v>0</v>
      </c>
      <c r="G22" s="8"/>
    </row>
    <row r="23" spans="1:7" x14ac:dyDescent="0.4">
      <c r="A23" s="5"/>
      <c r="B23" s="92" t="s">
        <v>24</v>
      </c>
      <c r="C23" s="7" t="str">
        <f>FertPlan!C31</f>
        <v>Nitrogen (28-0-0-0)</v>
      </c>
      <c r="D23" s="26">
        <f>SUM(FertPlan!F31*FertPlan!C21)</f>
        <v>1295.9782128437116</v>
      </c>
      <c r="E23" s="35">
        <f>SUM(FertPlan!D31*(FertPlan!C21/2204.5855))</f>
        <v>8.1000001393200005</v>
      </c>
      <c r="F23" s="35">
        <f>SUM(D23/FertPlan!$A$7)</f>
        <v>8.0998638302731969</v>
      </c>
      <c r="G23" s="8"/>
    </row>
    <row r="24" spans="1:7" x14ac:dyDescent="0.4">
      <c r="A24" s="4"/>
      <c r="B24" s="4"/>
      <c r="C24" s="97" t="s">
        <v>29</v>
      </c>
      <c r="D24" s="90">
        <f>SUM(D17:D23)</f>
        <v>20710.584708868919</v>
      </c>
      <c r="E24" s="91">
        <f>SUM(E17:E23)</f>
        <v>129.44333273870203</v>
      </c>
      <c r="F24" s="91">
        <f>SUM(F17:F23)</f>
        <v>129.44115443043074</v>
      </c>
      <c r="G24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1D56FC-9675-4564-973A-609A5287E7AD}"/>
</file>

<file path=customXml/itemProps2.xml><?xml version="1.0" encoding="utf-8"?>
<ds:datastoreItem xmlns:ds="http://schemas.openxmlformats.org/officeDocument/2006/customXml" ds:itemID="{24A83937-E002-4258-A18E-D2FAC03E1D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5F1E3-4CE7-41E6-865E-1E33FFFA48F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FertPlan</vt:lpstr>
      <vt:lpstr>Calculations</vt:lpstr>
      <vt:lpstr>FertPlan!Print_Area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calculator-fertilizer-plan</dc:title>
  <dc:creator>Government of Manitoba</dc:creator>
  <cp:lastModifiedBy>Berthelette, Crystal</cp:lastModifiedBy>
  <cp:lastPrinted>2024-07-22T18:23:54Z</cp:lastPrinted>
  <dcterms:created xsi:type="dcterms:W3CDTF">2001-02-26T15:17:45Z</dcterms:created>
  <dcterms:modified xsi:type="dcterms:W3CDTF">2024-07-22T18:24:28Z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